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ARAM\Downloads\"/>
    </mc:Choice>
  </mc:AlternateContent>
  <xr:revisionPtr revIDLastSave="0" documentId="8_{CD405B8A-4C36-4990-805D-FAC17908BA40}" xr6:coauthVersionLast="47" xr6:coauthVersionMax="47" xr10:uidLastSave="{00000000-0000-0000-0000-000000000000}"/>
  <bookViews>
    <workbookView xWindow="-108" yWindow="-108" windowWidth="23256" windowHeight="13176" xr2:uid="{19394D73-25FE-42A5-8FB6-94993E4EABA9}"/>
  </bookViews>
  <sheets>
    <sheet name="Cover" sheetId="1" r:id="rId1"/>
    <sheet name="Revenue Buildout" sheetId="2" r:id="rId2"/>
    <sheet name="Income Statement" sheetId="3" r:id="rId3"/>
    <sheet name="Balance Sheet" sheetId="4" r:id="rId4"/>
    <sheet name="Cash Flow Statment (As Stated)" sheetId="5" r:id="rId5"/>
    <sheet name="Cash Flow Statement (Manual)" sheetId="6" r:id="rId6"/>
    <sheet name="WACC" sheetId="10" r:id="rId7"/>
    <sheet name="Comps" sheetId="13" r:id="rId8"/>
    <sheet name="DCF" sheetId="14" r:id="rId9"/>
    <sheet name="Debt Waterfall" sheetId="8" r:id="rId10"/>
    <sheet name="Financial Projections" sheetId="16" r:id="rId11"/>
    <sheet name="Beta Calculation" sheetId="12" r:id="rId12"/>
    <sheet name="Graphs" sheetId="15"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I28" i="15" l="1"/>
  <c r="AH28" i="15"/>
  <c r="AG28" i="15"/>
  <c r="AF28" i="15"/>
  <c r="AE28" i="15"/>
  <c r="AG27" i="15"/>
  <c r="AH27" i="15"/>
  <c r="AI27" i="15"/>
  <c r="AF27" i="15"/>
  <c r="BG6" i="15" l="1"/>
  <c r="BG4" i="15"/>
  <c r="BG5" i="15"/>
  <c r="BG3" i="15"/>
  <c r="BI6" i="15"/>
  <c r="X2" i="15"/>
  <c r="Y2" i="15" s="1"/>
  <c r="Z2" i="15" s="1"/>
  <c r="AA2" i="15" s="1"/>
  <c r="J6" i="16"/>
  <c r="K6" i="16"/>
  <c r="L6" i="16"/>
  <c r="M6" i="16"/>
  <c r="J8" i="16"/>
  <c r="K8" i="16"/>
  <c r="L8" i="16"/>
  <c r="M8" i="16"/>
  <c r="J15" i="16"/>
  <c r="K15" i="16"/>
  <c r="L15" i="16"/>
  <c r="M15" i="16"/>
  <c r="J13" i="16"/>
  <c r="K13" i="16"/>
  <c r="L13" i="16"/>
  <c r="M13" i="16"/>
  <c r="I15" i="16"/>
  <c r="I13" i="16"/>
  <c r="I8" i="16"/>
  <c r="I6" i="16"/>
  <c r="M5" i="16"/>
  <c r="M3" i="16" s="1"/>
  <c r="M32" i="3" s="1"/>
  <c r="L5" i="16"/>
  <c r="L3" i="16" s="1"/>
  <c r="L32" i="3" s="1"/>
  <c r="K5" i="16"/>
  <c r="K3" i="16" s="1"/>
  <c r="K32" i="3" s="1"/>
  <c r="J5" i="16"/>
  <c r="J3" i="16" s="1"/>
  <c r="J32" i="3" s="1"/>
  <c r="I5" i="16"/>
  <c r="I3" i="16" s="1"/>
  <c r="I32" i="3" s="1"/>
  <c r="J12" i="16"/>
  <c r="J10" i="16" s="1"/>
  <c r="J34" i="3" s="1"/>
  <c r="K12" i="16"/>
  <c r="K10" i="16" s="1"/>
  <c r="K34" i="3" s="1"/>
  <c r="L12" i="16"/>
  <c r="L10" i="16" s="1"/>
  <c r="L34" i="3" s="1"/>
  <c r="M12" i="16"/>
  <c r="M10" i="16" s="1"/>
  <c r="M34" i="3" s="1"/>
  <c r="I12" i="16"/>
  <c r="I10" i="16" s="1"/>
  <c r="I34" i="3" s="1"/>
  <c r="E12" i="16"/>
  <c r="F12" i="16"/>
  <c r="G12" i="16"/>
  <c r="H12" i="16"/>
  <c r="E10" i="16"/>
  <c r="F10" i="16"/>
  <c r="G10" i="16"/>
  <c r="H10" i="16"/>
  <c r="E5" i="16"/>
  <c r="E3" i="16" s="1"/>
  <c r="F5" i="16"/>
  <c r="F3" i="16" s="1"/>
  <c r="G5" i="16"/>
  <c r="G3" i="16" s="1"/>
  <c r="H5" i="16"/>
  <c r="H3" i="16" s="1"/>
  <c r="D12" i="16"/>
  <c r="D10" i="16" s="1"/>
  <c r="D5" i="16"/>
  <c r="D3" i="16"/>
  <c r="E14" i="16"/>
  <c r="F14" i="16"/>
  <c r="G14" i="16"/>
  <c r="H14" i="16"/>
  <c r="D14" i="16"/>
  <c r="E7" i="16"/>
  <c r="F7" i="16"/>
  <c r="G7" i="16"/>
  <c r="H7" i="16"/>
  <c r="D7" i="16"/>
  <c r="C20" i="1" l="1"/>
  <c r="C21" i="1" s="1"/>
  <c r="C22" i="1" s="1"/>
  <c r="H21" i="8"/>
  <c r="G21" i="8"/>
  <c r="H23" i="8"/>
  <c r="J53" i="2"/>
  <c r="K53" i="2"/>
  <c r="L53" i="2"/>
  <c r="M53" i="2"/>
  <c r="I53" i="2"/>
  <c r="F18" i="14" l="1"/>
  <c r="G26" i="13"/>
  <c r="J33" i="3"/>
  <c r="K33" i="3"/>
  <c r="L33" i="3"/>
  <c r="M33" i="3"/>
  <c r="E33" i="3"/>
  <c r="F33" i="3"/>
  <c r="G33" i="3"/>
  <c r="H33" i="3"/>
  <c r="D33" i="3"/>
  <c r="J43" i="2"/>
  <c r="K43" i="2"/>
  <c r="L43" i="2"/>
  <c r="M43" i="2"/>
  <c r="I43" i="2"/>
  <c r="F34" i="8"/>
  <c r="G34" i="8"/>
  <c r="H34" i="8"/>
  <c r="E34" i="8"/>
  <c r="E81" i="4"/>
  <c r="E83" i="4" s="1"/>
  <c r="F81" i="4"/>
  <c r="G81" i="4"/>
  <c r="H81" i="4"/>
  <c r="E82" i="4"/>
  <c r="F82" i="4"/>
  <c r="F83" i="4" s="1"/>
  <c r="G82" i="4"/>
  <c r="G83" i="4" s="1"/>
  <c r="H82" i="4"/>
  <c r="H83" i="4" s="1"/>
  <c r="D83" i="4"/>
  <c r="D82" i="4"/>
  <c r="D81" i="4"/>
  <c r="G23" i="8"/>
  <c r="G30" i="8" s="1"/>
  <c r="F21" i="8"/>
  <c r="G29" i="8"/>
  <c r="E27" i="8"/>
  <c r="F27" i="8"/>
  <c r="G27" i="8"/>
  <c r="H27" i="8"/>
  <c r="E28" i="8"/>
  <c r="F28" i="8"/>
  <c r="G28" i="8"/>
  <c r="H28" i="8"/>
  <c r="E29" i="8"/>
  <c r="F29" i="8"/>
  <c r="H29" i="8"/>
  <c r="E30" i="8"/>
  <c r="F30" i="8"/>
  <c r="H30" i="8"/>
  <c r="E31" i="8"/>
  <c r="F31" i="8"/>
  <c r="G31" i="8"/>
  <c r="H31" i="8"/>
  <c r="D30" i="8"/>
  <c r="D28" i="8"/>
  <c r="C9" i="10"/>
  <c r="C14" i="10" s="1"/>
  <c r="C15" i="10" s="1"/>
  <c r="C8" i="10"/>
  <c r="J73" i="4"/>
  <c r="K73" i="4"/>
  <c r="L73" i="4"/>
  <c r="M73" i="4"/>
  <c r="I73" i="4"/>
  <c r="L54" i="4"/>
  <c r="J31" i="2"/>
  <c r="K31" i="2"/>
  <c r="L31" i="2"/>
  <c r="M31" i="2"/>
  <c r="I31" i="2"/>
  <c r="I66" i="2"/>
  <c r="M66" i="2"/>
  <c r="L66" i="2"/>
  <c r="K66" i="2"/>
  <c r="J66" i="2"/>
  <c r="E43" i="4"/>
  <c r="F43" i="4"/>
  <c r="G43" i="4"/>
  <c r="H43" i="4"/>
  <c r="D43" i="4"/>
  <c r="J52" i="2"/>
  <c r="K52" i="2"/>
  <c r="L52" i="2"/>
  <c r="M52" i="2"/>
  <c r="I52" i="2"/>
  <c r="I54" i="2" s="1"/>
  <c r="H32" i="8" l="1"/>
  <c r="H35" i="8" s="1"/>
  <c r="E32" i="8"/>
  <c r="E35" i="8" s="1"/>
  <c r="F29" i="14"/>
  <c r="F44" i="14"/>
  <c r="E49" i="13"/>
  <c r="D49" i="13"/>
  <c r="C49" i="13"/>
  <c r="D36" i="13"/>
  <c r="E36" i="13"/>
  <c r="C36" i="13"/>
  <c r="G32" i="8"/>
  <c r="G35" i="8" s="1"/>
  <c r="F32" i="8"/>
  <c r="F35" i="8" s="1"/>
  <c r="D8" i="12"/>
  <c r="K1261" i="12"/>
  <c r="K1260" i="12"/>
  <c r="K1259" i="12"/>
  <c r="K1258" i="12"/>
  <c r="K1257" i="12"/>
  <c r="K1256" i="12"/>
  <c r="K1255" i="12"/>
  <c r="K1254" i="12"/>
  <c r="K1253" i="12"/>
  <c r="K1252" i="12"/>
  <c r="K1251" i="12"/>
  <c r="K1250" i="12"/>
  <c r="K1249" i="12"/>
  <c r="K1248" i="12"/>
  <c r="K1247" i="12"/>
  <c r="K1246" i="12"/>
  <c r="K1245" i="12"/>
  <c r="K1244" i="12"/>
  <c r="K1243" i="12"/>
  <c r="K1242" i="12"/>
  <c r="K1241" i="12"/>
  <c r="K1240" i="12"/>
  <c r="K1239" i="12"/>
  <c r="K1238" i="12"/>
  <c r="K1237" i="12"/>
  <c r="K1236" i="12"/>
  <c r="K1235" i="12"/>
  <c r="K1234" i="12"/>
  <c r="K1233" i="12"/>
  <c r="K1232" i="12"/>
  <c r="K1231" i="12"/>
  <c r="K1230" i="12"/>
  <c r="K1229" i="12"/>
  <c r="K1228" i="12"/>
  <c r="K1227" i="12"/>
  <c r="K1226" i="12"/>
  <c r="K1225" i="12"/>
  <c r="K1224" i="12"/>
  <c r="K1223" i="12"/>
  <c r="K1222" i="12"/>
  <c r="K1221" i="12"/>
  <c r="K1220" i="12"/>
  <c r="K1219" i="12"/>
  <c r="K1218" i="12"/>
  <c r="K1217" i="12"/>
  <c r="K1216" i="12"/>
  <c r="K1215" i="12"/>
  <c r="K1214" i="12"/>
  <c r="K1213" i="12"/>
  <c r="K1212" i="12"/>
  <c r="K1211" i="12"/>
  <c r="K1210" i="12"/>
  <c r="K1209" i="12"/>
  <c r="K1208" i="12"/>
  <c r="K1207" i="12"/>
  <c r="K1206" i="12"/>
  <c r="K1205" i="12"/>
  <c r="K1204" i="12"/>
  <c r="K1203" i="12"/>
  <c r="K1202" i="12"/>
  <c r="K1201" i="12"/>
  <c r="K1200" i="12"/>
  <c r="K1199" i="12"/>
  <c r="K1198" i="12"/>
  <c r="K1197" i="12"/>
  <c r="K1196" i="12"/>
  <c r="K1195" i="12"/>
  <c r="K1194" i="12"/>
  <c r="K1193" i="12"/>
  <c r="K1192" i="12"/>
  <c r="K1191" i="12"/>
  <c r="K1190" i="12"/>
  <c r="K1189" i="12"/>
  <c r="K1188" i="12"/>
  <c r="K1187" i="12"/>
  <c r="K1186" i="12"/>
  <c r="K1185" i="12"/>
  <c r="K1184" i="12"/>
  <c r="K1183" i="12"/>
  <c r="K1182" i="12"/>
  <c r="K1181" i="12"/>
  <c r="K1180" i="12"/>
  <c r="K1179" i="12"/>
  <c r="K1178" i="12"/>
  <c r="K1177" i="12"/>
  <c r="K1176" i="12"/>
  <c r="K1175" i="12"/>
  <c r="K1174" i="12"/>
  <c r="K1173" i="12"/>
  <c r="K1172" i="12"/>
  <c r="K1171" i="12"/>
  <c r="K1170" i="12"/>
  <c r="K1169" i="12"/>
  <c r="K1168" i="12"/>
  <c r="K1167" i="12"/>
  <c r="K1166" i="12"/>
  <c r="K1165" i="12"/>
  <c r="K1164" i="12"/>
  <c r="K1163" i="12"/>
  <c r="K1162" i="12"/>
  <c r="K1161" i="12"/>
  <c r="K1160" i="12"/>
  <c r="K1159" i="12"/>
  <c r="K1158" i="12"/>
  <c r="K1157" i="12"/>
  <c r="K1156" i="12"/>
  <c r="K1155" i="12"/>
  <c r="K1154" i="12"/>
  <c r="K1153" i="12"/>
  <c r="K1152" i="12"/>
  <c r="K1151" i="12"/>
  <c r="K1150" i="12"/>
  <c r="K1149" i="12"/>
  <c r="K1148" i="12"/>
  <c r="K1147" i="12"/>
  <c r="K1146" i="12"/>
  <c r="K1145" i="12"/>
  <c r="K1144" i="12"/>
  <c r="K1143" i="12"/>
  <c r="K1142" i="12"/>
  <c r="K1141" i="12"/>
  <c r="K1140" i="12"/>
  <c r="K1139" i="12"/>
  <c r="K1138" i="12"/>
  <c r="K1137" i="12"/>
  <c r="K1136" i="12"/>
  <c r="K1135" i="12"/>
  <c r="K1134" i="12"/>
  <c r="K1133" i="12"/>
  <c r="K1132" i="12"/>
  <c r="K1131" i="12"/>
  <c r="K1130" i="12"/>
  <c r="K1129" i="12"/>
  <c r="K1128" i="12"/>
  <c r="K1127" i="12"/>
  <c r="K1126" i="12"/>
  <c r="K1125" i="12"/>
  <c r="K1124" i="12"/>
  <c r="K1123" i="12"/>
  <c r="K1122" i="12"/>
  <c r="K1121" i="12"/>
  <c r="K1120" i="12"/>
  <c r="K1119" i="12"/>
  <c r="K1118" i="12"/>
  <c r="K1117" i="12"/>
  <c r="K1116" i="12"/>
  <c r="K1115" i="12"/>
  <c r="K1114" i="12"/>
  <c r="K1113" i="12"/>
  <c r="K1112" i="12"/>
  <c r="K1111" i="12"/>
  <c r="K1110" i="12"/>
  <c r="K1109" i="12"/>
  <c r="K1108" i="12"/>
  <c r="K1107" i="12"/>
  <c r="K1106" i="12"/>
  <c r="K1105" i="12"/>
  <c r="K1104" i="12"/>
  <c r="K1103" i="12"/>
  <c r="K1102" i="12"/>
  <c r="K1101" i="12"/>
  <c r="K1100" i="12"/>
  <c r="K1099" i="12"/>
  <c r="K1098" i="12"/>
  <c r="K1097" i="12"/>
  <c r="K1096" i="12"/>
  <c r="K1095" i="12"/>
  <c r="K1094" i="12"/>
  <c r="K1093" i="12"/>
  <c r="K1092" i="12"/>
  <c r="K1091" i="12"/>
  <c r="K1090" i="12"/>
  <c r="K1089" i="12"/>
  <c r="K1088" i="12"/>
  <c r="K1087" i="12"/>
  <c r="K1086" i="12"/>
  <c r="K1085" i="12"/>
  <c r="K1084" i="12"/>
  <c r="K1083" i="12"/>
  <c r="K1082" i="12"/>
  <c r="K1081" i="12"/>
  <c r="K1080" i="12"/>
  <c r="K1079" i="12"/>
  <c r="K1078" i="12"/>
  <c r="K1077" i="12"/>
  <c r="K1076" i="12"/>
  <c r="K1075" i="12"/>
  <c r="K1074" i="12"/>
  <c r="K1073" i="12"/>
  <c r="K1072" i="12"/>
  <c r="K1071" i="12"/>
  <c r="K1070" i="12"/>
  <c r="K1069" i="12"/>
  <c r="K1068" i="12"/>
  <c r="K1067" i="12"/>
  <c r="K1066" i="12"/>
  <c r="K1065" i="12"/>
  <c r="K1064" i="12"/>
  <c r="K1063" i="12"/>
  <c r="K1062" i="12"/>
  <c r="K1061" i="12"/>
  <c r="K1060" i="12"/>
  <c r="K1059" i="12"/>
  <c r="K1058" i="12"/>
  <c r="K1057" i="12"/>
  <c r="K1056" i="12"/>
  <c r="K1055" i="12"/>
  <c r="K1054" i="12"/>
  <c r="K1053" i="12"/>
  <c r="K1052" i="12"/>
  <c r="K1051" i="12"/>
  <c r="K1050" i="12"/>
  <c r="K1049" i="12"/>
  <c r="K1048" i="12"/>
  <c r="K1047" i="12"/>
  <c r="K1046" i="12"/>
  <c r="K1045" i="12"/>
  <c r="K1044" i="12"/>
  <c r="K1043" i="12"/>
  <c r="K1042" i="12"/>
  <c r="K1041" i="12"/>
  <c r="K1040" i="12"/>
  <c r="K1039" i="12"/>
  <c r="K1038" i="12"/>
  <c r="K1037" i="12"/>
  <c r="K1036" i="12"/>
  <c r="K1035" i="12"/>
  <c r="K1034" i="12"/>
  <c r="K1033" i="12"/>
  <c r="K1032" i="12"/>
  <c r="K1031" i="12"/>
  <c r="K1030" i="12"/>
  <c r="K1029" i="12"/>
  <c r="K1028" i="12"/>
  <c r="K1027" i="12"/>
  <c r="K1026" i="12"/>
  <c r="K1025" i="12"/>
  <c r="K1024" i="12"/>
  <c r="K1023" i="12"/>
  <c r="K1022" i="12"/>
  <c r="K1021" i="12"/>
  <c r="K1020" i="12"/>
  <c r="K1019" i="12"/>
  <c r="K1018" i="12"/>
  <c r="K1017" i="12"/>
  <c r="K1016" i="12"/>
  <c r="K1015" i="12"/>
  <c r="K1014" i="12"/>
  <c r="K1013" i="12"/>
  <c r="K1012" i="12"/>
  <c r="K1011" i="12"/>
  <c r="K1010" i="12"/>
  <c r="K1009" i="12"/>
  <c r="K1008" i="12"/>
  <c r="K1007" i="12"/>
  <c r="K1006" i="12"/>
  <c r="K1005" i="12"/>
  <c r="K1004" i="12"/>
  <c r="K1003" i="12"/>
  <c r="K1002" i="12"/>
  <c r="K1001" i="12"/>
  <c r="K1000" i="12"/>
  <c r="K999" i="12"/>
  <c r="K998" i="12"/>
  <c r="K997" i="12"/>
  <c r="K996" i="12"/>
  <c r="K995" i="12"/>
  <c r="K994" i="12"/>
  <c r="K993" i="12"/>
  <c r="K992" i="12"/>
  <c r="K991" i="12"/>
  <c r="K990" i="12"/>
  <c r="K989" i="12"/>
  <c r="K988" i="12"/>
  <c r="K987" i="12"/>
  <c r="K986" i="12"/>
  <c r="K985" i="12"/>
  <c r="K984" i="12"/>
  <c r="K983" i="12"/>
  <c r="K982" i="12"/>
  <c r="K981" i="12"/>
  <c r="K980" i="12"/>
  <c r="K979" i="12"/>
  <c r="K978" i="12"/>
  <c r="K977" i="12"/>
  <c r="K976" i="12"/>
  <c r="K975" i="12"/>
  <c r="K974" i="12"/>
  <c r="K973" i="12"/>
  <c r="K972" i="12"/>
  <c r="K971" i="12"/>
  <c r="K970" i="12"/>
  <c r="K969" i="12"/>
  <c r="K968" i="12"/>
  <c r="K967" i="12"/>
  <c r="K966" i="12"/>
  <c r="K965" i="12"/>
  <c r="K964" i="12"/>
  <c r="K963" i="12"/>
  <c r="K962" i="12"/>
  <c r="K961" i="12"/>
  <c r="K960" i="12"/>
  <c r="K959" i="12"/>
  <c r="K958" i="12"/>
  <c r="K957" i="12"/>
  <c r="K956" i="12"/>
  <c r="K955" i="12"/>
  <c r="K954" i="12"/>
  <c r="K953" i="12"/>
  <c r="K952" i="12"/>
  <c r="K951" i="12"/>
  <c r="K950" i="12"/>
  <c r="K949" i="12"/>
  <c r="K948" i="12"/>
  <c r="K947" i="12"/>
  <c r="K946" i="12"/>
  <c r="K945" i="12"/>
  <c r="K944" i="12"/>
  <c r="K943" i="12"/>
  <c r="K942" i="12"/>
  <c r="K941" i="12"/>
  <c r="K940" i="12"/>
  <c r="K939" i="12"/>
  <c r="K938" i="12"/>
  <c r="K937" i="12"/>
  <c r="K936" i="12"/>
  <c r="K935" i="12"/>
  <c r="K934" i="12"/>
  <c r="K933" i="12"/>
  <c r="K932" i="12"/>
  <c r="K931" i="12"/>
  <c r="K930" i="12"/>
  <c r="K929" i="12"/>
  <c r="K928" i="12"/>
  <c r="K927" i="12"/>
  <c r="K926" i="12"/>
  <c r="K925" i="12"/>
  <c r="K924" i="12"/>
  <c r="K923" i="12"/>
  <c r="K922" i="12"/>
  <c r="K921" i="12"/>
  <c r="K920" i="12"/>
  <c r="K919" i="12"/>
  <c r="K918" i="12"/>
  <c r="K917" i="12"/>
  <c r="K916" i="12"/>
  <c r="K915" i="12"/>
  <c r="K914" i="12"/>
  <c r="K913" i="12"/>
  <c r="K912" i="12"/>
  <c r="K911" i="12"/>
  <c r="K910" i="12"/>
  <c r="K909" i="12"/>
  <c r="K908" i="12"/>
  <c r="K907" i="12"/>
  <c r="K906" i="12"/>
  <c r="K905" i="12"/>
  <c r="K904" i="12"/>
  <c r="K903" i="12"/>
  <c r="K902" i="12"/>
  <c r="K901" i="12"/>
  <c r="K900" i="12"/>
  <c r="K899" i="12"/>
  <c r="K898" i="12"/>
  <c r="K897" i="12"/>
  <c r="K896" i="12"/>
  <c r="K895" i="12"/>
  <c r="K894" i="12"/>
  <c r="K893" i="12"/>
  <c r="K892" i="12"/>
  <c r="K891" i="12"/>
  <c r="K890" i="12"/>
  <c r="K889" i="12"/>
  <c r="K888" i="12"/>
  <c r="K887" i="12"/>
  <c r="K886" i="12"/>
  <c r="K885" i="12"/>
  <c r="K884" i="12"/>
  <c r="K883" i="12"/>
  <c r="K882" i="12"/>
  <c r="K881" i="12"/>
  <c r="K880" i="12"/>
  <c r="K879" i="12"/>
  <c r="K878" i="12"/>
  <c r="K877" i="12"/>
  <c r="K876" i="12"/>
  <c r="K875" i="12"/>
  <c r="K874" i="12"/>
  <c r="K873" i="12"/>
  <c r="K872" i="12"/>
  <c r="K871" i="12"/>
  <c r="K870" i="12"/>
  <c r="K869" i="12"/>
  <c r="K868" i="12"/>
  <c r="K867" i="12"/>
  <c r="K866" i="12"/>
  <c r="K865" i="12"/>
  <c r="K864" i="12"/>
  <c r="K863" i="12"/>
  <c r="K862" i="12"/>
  <c r="K861" i="12"/>
  <c r="K860" i="12"/>
  <c r="K859" i="12"/>
  <c r="K858" i="12"/>
  <c r="K857" i="12"/>
  <c r="K856" i="12"/>
  <c r="K855" i="12"/>
  <c r="K854" i="12"/>
  <c r="K853" i="12"/>
  <c r="K852" i="12"/>
  <c r="K851" i="12"/>
  <c r="K850" i="12"/>
  <c r="K849" i="12"/>
  <c r="K848" i="12"/>
  <c r="K847" i="12"/>
  <c r="K846" i="12"/>
  <c r="K845" i="12"/>
  <c r="K844" i="12"/>
  <c r="K843" i="12"/>
  <c r="K842" i="12"/>
  <c r="K841" i="12"/>
  <c r="K840" i="12"/>
  <c r="K839" i="12"/>
  <c r="K838" i="12"/>
  <c r="K837" i="12"/>
  <c r="K836" i="12"/>
  <c r="K835" i="12"/>
  <c r="K834" i="12"/>
  <c r="K833" i="12"/>
  <c r="K832" i="12"/>
  <c r="K831" i="12"/>
  <c r="K830" i="12"/>
  <c r="K829" i="12"/>
  <c r="K828" i="12"/>
  <c r="K827" i="12"/>
  <c r="K826" i="12"/>
  <c r="K825" i="12"/>
  <c r="K824" i="12"/>
  <c r="K823" i="12"/>
  <c r="K822" i="12"/>
  <c r="K821" i="12"/>
  <c r="K820" i="12"/>
  <c r="K819" i="12"/>
  <c r="K818" i="12"/>
  <c r="K817" i="12"/>
  <c r="K816" i="12"/>
  <c r="K815" i="12"/>
  <c r="K814" i="12"/>
  <c r="K813" i="12"/>
  <c r="K812" i="12"/>
  <c r="K811" i="12"/>
  <c r="K810" i="12"/>
  <c r="K809" i="12"/>
  <c r="K808" i="12"/>
  <c r="K807" i="12"/>
  <c r="K806" i="12"/>
  <c r="K805" i="12"/>
  <c r="K804" i="12"/>
  <c r="K803" i="12"/>
  <c r="K802" i="12"/>
  <c r="K801" i="12"/>
  <c r="K800" i="12"/>
  <c r="K799" i="12"/>
  <c r="K798" i="12"/>
  <c r="K797" i="12"/>
  <c r="K796" i="12"/>
  <c r="K795" i="12"/>
  <c r="K794" i="12"/>
  <c r="K793" i="12"/>
  <c r="K792" i="12"/>
  <c r="K791" i="12"/>
  <c r="K790" i="12"/>
  <c r="K789" i="12"/>
  <c r="K788" i="12"/>
  <c r="K787" i="12"/>
  <c r="K786" i="12"/>
  <c r="K785" i="12"/>
  <c r="K784" i="12"/>
  <c r="K783" i="12"/>
  <c r="K782" i="12"/>
  <c r="K781" i="12"/>
  <c r="K780" i="12"/>
  <c r="K779" i="12"/>
  <c r="K778" i="12"/>
  <c r="K777" i="12"/>
  <c r="K776" i="12"/>
  <c r="K775" i="12"/>
  <c r="K774" i="12"/>
  <c r="K773" i="12"/>
  <c r="K772" i="12"/>
  <c r="K771" i="12"/>
  <c r="K770" i="12"/>
  <c r="K769" i="12"/>
  <c r="K768" i="12"/>
  <c r="K767" i="12"/>
  <c r="K766" i="12"/>
  <c r="K765" i="12"/>
  <c r="K764" i="12"/>
  <c r="K763" i="12"/>
  <c r="K762" i="12"/>
  <c r="K761" i="12"/>
  <c r="K760" i="12"/>
  <c r="K759" i="12"/>
  <c r="K758" i="12"/>
  <c r="K757" i="12"/>
  <c r="K756" i="12"/>
  <c r="K755" i="12"/>
  <c r="K754" i="12"/>
  <c r="K753" i="12"/>
  <c r="K752" i="12"/>
  <c r="K751" i="12"/>
  <c r="K750" i="12"/>
  <c r="K749" i="12"/>
  <c r="K748" i="12"/>
  <c r="K747" i="12"/>
  <c r="K746" i="12"/>
  <c r="K745" i="12"/>
  <c r="K744" i="12"/>
  <c r="K743" i="12"/>
  <c r="K742" i="12"/>
  <c r="K741" i="12"/>
  <c r="K740" i="12"/>
  <c r="K739" i="12"/>
  <c r="K738" i="12"/>
  <c r="K737" i="12"/>
  <c r="K736" i="12"/>
  <c r="K735" i="12"/>
  <c r="K734" i="12"/>
  <c r="K733" i="12"/>
  <c r="K732" i="12"/>
  <c r="K731" i="12"/>
  <c r="K730" i="12"/>
  <c r="K729" i="12"/>
  <c r="K728" i="12"/>
  <c r="K727" i="12"/>
  <c r="K726" i="12"/>
  <c r="K725" i="12"/>
  <c r="K724" i="12"/>
  <c r="K723" i="12"/>
  <c r="K722" i="12"/>
  <c r="K721" i="12"/>
  <c r="K720" i="12"/>
  <c r="K719" i="12"/>
  <c r="K718" i="12"/>
  <c r="K717" i="12"/>
  <c r="K716" i="12"/>
  <c r="K715" i="12"/>
  <c r="K714" i="12"/>
  <c r="K713" i="12"/>
  <c r="K712" i="12"/>
  <c r="K711" i="12"/>
  <c r="K710" i="12"/>
  <c r="K709" i="12"/>
  <c r="K708" i="12"/>
  <c r="K707" i="12"/>
  <c r="K706" i="12"/>
  <c r="K705" i="12"/>
  <c r="K704" i="12"/>
  <c r="K703" i="12"/>
  <c r="K702" i="12"/>
  <c r="K701" i="12"/>
  <c r="K700" i="12"/>
  <c r="K699" i="12"/>
  <c r="K698" i="12"/>
  <c r="K697" i="12"/>
  <c r="K696" i="12"/>
  <c r="K695" i="12"/>
  <c r="K694" i="12"/>
  <c r="K693" i="12"/>
  <c r="K692" i="12"/>
  <c r="K691" i="12"/>
  <c r="K690" i="12"/>
  <c r="K689" i="12"/>
  <c r="K688" i="12"/>
  <c r="K687" i="12"/>
  <c r="K686" i="12"/>
  <c r="K685" i="12"/>
  <c r="K684" i="12"/>
  <c r="K683" i="12"/>
  <c r="K682" i="12"/>
  <c r="K681" i="12"/>
  <c r="K680" i="12"/>
  <c r="K679" i="12"/>
  <c r="K678" i="12"/>
  <c r="K677" i="12"/>
  <c r="K676" i="12"/>
  <c r="K675" i="12"/>
  <c r="K674" i="12"/>
  <c r="K673" i="12"/>
  <c r="K672" i="12"/>
  <c r="K671" i="12"/>
  <c r="K670" i="12"/>
  <c r="K669" i="12"/>
  <c r="K668" i="12"/>
  <c r="K667" i="12"/>
  <c r="K666" i="12"/>
  <c r="K665" i="12"/>
  <c r="K664" i="12"/>
  <c r="K663" i="12"/>
  <c r="K662" i="12"/>
  <c r="K661" i="12"/>
  <c r="K660" i="12"/>
  <c r="K659" i="12"/>
  <c r="K658" i="12"/>
  <c r="K657" i="12"/>
  <c r="K656" i="12"/>
  <c r="K655" i="12"/>
  <c r="K654" i="12"/>
  <c r="K653" i="12"/>
  <c r="K652" i="12"/>
  <c r="K651" i="12"/>
  <c r="K650" i="12"/>
  <c r="K649" i="12"/>
  <c r="K648" i="12"/>
  <c r="K647" i="12"/>
  <c r="K646" i="12"/>
  <c r="K645" i="12"/>
  <c r="K644" i="12"/>
  <c r="K643" i="12"/>
  <c r="K642" i="12"/>
  <c r="K641" i="12"/>
  <c r="K640" i="12"/>
  <c r="K639" i="12"/>
  <c r="K638" i="12"/>
  <c r="K637" i="12"/>
  <c r="K636" i="12"/>
  <c r="K635" i="12"/>
  <c r="K634" i="12"/>
  <c r="K633" i="12"/>
  <c r="K632" i="12"/>
  <c r="K631" i="12"/>
  <c r="K630" i="12"/>
  <c r="K629" i="12"/>
  <c r="K628" i="12"/>
  <c r="K627" i="12"/>
  <c r="K626" i="12"/>
  <c r="K625" i="12"/>
  <c r="K624" i="12"/>
  <c r="K623" i="12"/>
  <c r="K622" i="12"/>
  <c r="K621" i="12"/>
  <c r="K620" i="12"/>
  <c r="K619" i="12"/>
  <c r="K618" i="12"/>
  <c r="K617" i="12"/>
  <c r="K616" i="12"/>
  <c r="K615" i="12"/>
  <c r="K614" i="12"/>
  <c r="K613" i="12"/>
  <c r="K612" i="12"/>
  <c r="K611" i="12"/>
  <c r="K610" i="12"/>
  <c r="K609" i="12"/>
  <c r="K608" i="12"/>
  <c r="K607" i="12"/>
  <c r="K606" i="12"/>
  <c r="K605" i="12"/>
  <c r="K604" i="12"/>
  <c r="K603" i="12"/>
  <c r="K602" i="12"/>
  <c r="K601" i="12"/>
  <c r="K600" i="12"/>
  <c r="K599" i="12"/>
  <c r="K598" i="12"/>
  <c r="K597" i="12"/>
  <c r="K596" i="12"/>
  <c r="K595" i="12"/>
  <c r="K594" i="12"/>
  <c r="K593" i="12"/>
  <c r="K592" i="12"/>
  <c r="K591" i="12"/>
  <c r="K590" i="12"/>
  <c r="K589" i="12"/>
  <c r="K588" i="12"/>
  <c r="K587" i="12"/>
  <c r="K586" i="12"/>
  <c r="K585" i="12"/>
  <c r="K584" i="12"/>
  <c r="K583" i="12"/>
  <c r="K582" i="12"/>
  <c r="K581" i="12"/>
  <c r="K580" i="12"/>
  <c r="K579" i="12"/>
  <c r="K578" i="12"/>
  <c r="K577" i="12"/>
  <c r="K576" i="12"/>
  <c r="K575" i="12"/>
  <c r="K574" i="12"/>
  <c r="K573" i="12"/>
  <c r="K572" i="12"/>
  <c r="K571" i="12"/>
  <c r="K570" i="12"/>
  <c r="K569" i="12"/>
  <c r="K568" i="12"/>
  <c r="K567" i="12"/>
  <c r="K566" i="12"/>
  <c r="K565" i="12"/>
  <c r="K564" i="12"/>
  <c r="K563" i="12"/>
  <c r="K562" i="12"/>
  <c r="K561" i="12"/>
  <c r="K560" i="12"/>
  <c r="K559" i="12"/>
  <c r="K558" i="12"/>
  <c r="K557" i="12"/>
  <c r="K556" i="12"/>
  <c r="K555" i="12"/>
  <c r="K554" i="12"/>
  <c r="K553" i="12"/>
  <c r="K552" i="12"/>
  <c r="K551" i="12"/>
  <c r="K550" i="12"/>
  <c r="K549" i="12"/>
  <c r="K548" i="12"/>
  <c r="K547" i="12"/>
  <c r="K546" i="12"/>
  <c r="K545" i="12"/>
  <c r="K544" i="12"/>
  <c r="K543" i="12"/>
  <c r="K542" i="12"/>
  <c r="K541" i="12"/>
  <c r="K540" i="12"/>
  <c r="K539" i="12"/>
  <c r="K538" i="12"/>
  <c r="K537" i="12"/>
  <c r="K536" i="12"/>
  <c r="K535" i="12"/>
  <c r="K534" i="12"/>
  <c r="K533" i="12"/>
  <c r="K532" i="12"/>
  <c r="K531" i="12"/>
  <c r="K530" i="12"/>
  <c r="K529" i="12"/>
  <c r="K528" i="12"/>
  <c r="K527" i="12"/>
  <c r="K526" i="12"/>
  <c r="K525" i="12"/>
  <c r="K524" i="12"/>
  <c r="K523" i="12"/>
  <c r="K522" i="12"/>
  <c r="K521" i="12"/>
  <c r="K520" i="12"/>
  <c r="K519" i="12"/>
  <c r="K518" i="12"/>
  <c r="K517" i="12"/>
  <c r="K516" i="12"/>
  <c r="K515" i="12"/>
  <c r="K514" i="12"/>
  <c r="K513" i="12"/>
  <c r="K512" i="12"/>
  <c r="K511" i="12"/>
  <c r="K510" i="12"/>
  <c r="K509" i="12"/>
  <c r="K508" i="12"/>
  <c r="K507" i="12"/>
  <c r="K506" i="12"/>
  <c r="K505" i="12"/>
  <c r="K504" i="12"/>
  <c r="K503" i="12"/>
  <c r="K502" i="12"/>
  <c r="K501" i="12"/>
  <c r="K500" i="12"/>
  <c r="K499" i="12"/>
  <c r="K498" i="12"/>
  <c r="K497" i="12"/>
  <c r="K496" i="12"/>
  <c r="K495" i="12"/>
  <c r="K494" i="12"/>
  <c r="K493" i="12"/>
  <c r="K492" i="12"/>
  <c r="K491" i="12"/>
  <c r="K490" i="12"/>
  <c r="K489" i="12"/>
  <c r="K488" i="12"/>
  <c r="K487" i="12"/>
  <c r="K486" i="12"/>
  <c r="K485" i="12"/>
  <c r="K484" i="12"/>
  <c r="K483" i="12"/>
  <c r="K482" i="12"/>
  <c r="K481" i="12"/>
  <c r="K480" i="12"/>
  <c r="K479" i="12"/>
  <c r="K478" i="12"/>
  <c r="K477" i="12"/>
  <c r="K476" i="12"/>
  <c r="K475" i="12"/>
  <c r="K474" i="12"/>
  <c r="K473" i="12"/>
  <c r="K472" i="12"/>
  <c r="K471" i="12"/>
  <c r="K470" i="12"/>
  <c r="K469" i="12"/>
  <c r="K468" i="12"/>
  <c r="K467" i="12"/>
  <c r="K466" i="12"/>
  <c r="K465" i="12"/>
  <c r="K464" i="12"/>
  <c r="K463" i="12"/>
  <c r="K462" i="12"/>
  <c r="K461" i="12"/>
  <c r="K460" i="12"/>
  <c r="K459" i="12"/>
  <c r="K458" i="12"/>
  <c r="K457" i="12"/>
  <c r="K456" i="12"/>
  <c r="K455" i="12"/>
  <c r="K454" i="12"/>
  <c r="K453" i="12"/>
  <c r="K452" i="12"/>
  <c r="K451" i="12"/>
  <c r="K450" i="12"/>
  <c r="K449" i="12"/>
  <c r="K448" i="12"/>
  <c r="K447" i="12"/>
  <c r="K446" i="12"/>
  <c r="K445" i="12"/>
  <c r="K444" i="12"/>
  <c r="K443" i="12"/>
  <c r="K442" i="12"/>
  <c r="K441" i="12"/>
  <c r="K440" i="12"/>
  <c r="K439" i="12"/>
  <c r="K438" i="12"/>
  <c r="K437" i="12"/>
  <c r="K436" i="12"/>
  <c r="K435" i="12"/>
  <c r="K434" i="12"/>
  <c r="K433" i="12"/>
  <c r="K432" i="12"/>
  <c r="K431" i="12"/>
  <c r="K430" i="12"/>
  <c r="K429" i="12"/>
  <c r="K428" i="12"/>
  <c r="K427" i="12"/>
  <c r="K426" i="12"/>
  <c r="K425" i="12"/>
  <c r="K424" i="12"/>
  <c r="K423" i="12"/>
  <c r="K422" i="12"/>
  <c r="K421" i="12"/>
  <c r="K420" i="12"/>
  <c r="K419" i="12"/>
  <c r="K418" i="12"/>
  <c r="K417" i="12"/>
  <c r="K416" i="12"/>
  <c r="K415" i="12"/>
  <c r="K414" i="12"/>
  <c r="K413" i="12"/>
  <c r="K412" i="12"/>
  <c r="K411" i="12"/>
  <c r="K410" i="12"/>
  <c r="K409" i="12"/>
  <c r="K408" i="12"/>
  <c r="K407" i="12"/>
  <c r="K406" i="12"/>
  <c r="K405" i="12"/>
  <c r="K404" i="12"/>
  <c r="K403" i="12"/>
  <c r="K402" i="12"/>
  <c r="K401" i="12"/>
  <c r="K400" i="12"/>
  <c r="K399" i="12"/>
  <c r="K398" i="12"/>
  <c r="K397" i="12"/>
  <c r="K396" i="12"/>
  <c r="K395" i="12"/>
  <c r="K394" i="12"/>
  <c r="K393" i="12"/>
  <c r="K392" i="12"/>
  <c r="K391" i="12"/>
  <c r="K390" i="12"/>
  <c r="K389" i="12"/>
  <c r="K388" i="12"/>
  <c r="K387" i="12"/>
  <c r="K386" i="12"/>
  <c r="K385" i="12"/>
  <c r="K384" i="12"/>
  <c r="K383" i="12"/>
  <c r="K382" i="12"/>
  <c r="K381" i="12"/>
  <c r="K380" i="12"/>
  <c r="K379" i="12"/>
  <c r="K378" i="12"/>
  <c r="K377" i="12"/>
  <c r="K376" i="12"/>
  <c r="K375" i="12"/>
  <c r="K374" i="12"/>
  <c r="K373" i="12"/>
  <c r="K372" i="12"/>
  <c r="K371" i="12"/>
  <c r="K370" i="12"/>
  <c r="K369" i="12"/>
  <c r="K368" i="12"/>
  <c r="K367" i="12"/>
  <c r="K366" i="12"/>
  <c r="K365" i="12"/>
  <c r="K364" i="12"/>
  <c r="K363" i="12"/>
  <c r="K362" i="12"/>
  <c r="K361" i="12"/>
  <c r="K360" i="12"/>
  <c r="K359" i="12"/>
  <c r="K358" i="12"/>
  <c r="K357" i="12"/>
  <c r="K356" i="12"/>
  <c r="K355" i="12"/>
  <c r="K354" i="12"/>
  <c r="K353" i="12"/>
  <c r="K352" i="12"/>
  <c r="K351" i="12"/>
  <c r="K350" i="12"/>
  <c r="K349" i="12"/>
  <c r="K348" i="12"/>
  <c r="K347" i="12"/>
  <c r="K346" i="12"/>
  <c r="K345" i="12"/>
  <c r="K344" i="12"/>
  <c r="K343" i="12"/>
  <c r="K342" i="12"/>
  <c r="K341" i="12"/>
  <c r="K340" i="12"/>
  <c r="K339" i="12"/>
  <c r="K338" i="12"/>
  <c r="K337" i="12"/>
  <c r="K336" i="12"/>
  <c r="K335" i="12"/>
  <c r="K334" i="12"/>
  <c r="K333" i="12"/>
  <c r="K332" i="12"/>
  <c r="K331" i="12"/>
  <c r="K330" i="12"/>
  <c r="K329" i="12"/>
  <c r="K328" i="12"/>
  <c r="K327" i="12"/>
  <c r="K326" i="12"/>
  <c r="K325" i="12"/>
  <c r="K324" i="12"/>
  <c r="K323" i="12"/>
  <c r="K322" i="12"/>
  <c r="K321" i="12"/>
  <c r="K320" i="12"/>
  <c r="K319" i="12"/>
  <c r="K318" i="12"/>
  <c r="K317" i="12"/>
  <c r="K316" i="12"/>
  <c r="K315" i="12"/>
  <c r="K314" i="12"/>
  <c r="K313" i="12"/>
  <c r="K312" i="12"/>
  <c r="K311" i="12"/>
  <c r="K310" i="12"/>
  <c r="K309" i="12"/>
  <c r="K308" i="12"/>
  <c r="K307" i="12"/>
  <c r="K306" i="12"/>
  <c r="K305" i="12"/>
  <c r="K304" i="12"/>
  <c r="K303" i="12"/>
  <c r="K302" i="12"/>
  <c r="K301" i="12"/>
  <c r="K300" i="12"/>
  <c r="K299" i="12"/>
  <c r="K298" i="12"/>
  <c r="K297" i="12"/>
  <c r="K296" i="12"/>
  <c r="K295" i="12"/>
  <c r="K294" i="12"/>
  <c r="K293" i="12"/>
  <c r="K292" i="12"/>
  <c r="K291" i="12"/>
  <c r="K290" i="12"/>
  <c r="K289" i="12"/>
  <c r="K288" i="12"/>
  <c r="K287" i="12"/>
  <c r="K286" i="12"/>
  <c r="K285" i="12"/>
  <c r="K284" i="12"/>
  <c r="K283" i="12"/>
  <c r="K282" i="12"/>
  <c r="K281" i="12"/>
  <c r="K280" i="12"/>
  <c r="K279" i="12"/>
  <c r="K278" i="12"/>
  <c r="K277" i="12"/>
  <c r="K276" i="12"/>
  <c r="K275" i="12"/>
  <c r="K274" i="12"/>
  <c r="K273" i="12"/>
  <c r="K272" i="12"/>
  <c r="K271" i="12"/>
  <c r="K270" i="12"/>
  <c r="K269" i="12"/>
  <c r="K268" i="12"/>
  <c r="K267" i="12"/>
  <c r="K266" i="12"/>
  <c r="K265" i="12"/>
  <c r="K264" i="12"/>
  <c r="K263" i="12"/>
  <c r="K262" i="12"/>
  <c r="K261" i="12"/>
  <c r="K260" i="12"/>
  <c r="K259" i="12"/>
  <c r="K258" i="12"/>
  <c r="K257" i="12"/>
  <c r="K256" i="12"/>
  <c r="K255" i="12"/>
  <c r="K254" i="12"/>
  <c r="K253" i="12"/>
  <c r="K252" i="12"/>
  <c r="K251" i="12"/>
  <c r="K250" i="12"/>
  <c r="K249" i="12"/>
  <c r="K248" i="12"/>
  <c r="K247" i="12"/>
  <c r="K246" i="12"/>
  <c r="K245" i="12"/>
  <c r="K244" i="12"/>
  <c r="K243" i="12"/>
  <c r="K242" i="12"/>
  <c r="K241" i="12"/>
  <c r="K240" i="12"/>
  <c r="K239" i="12"/>
  <c r="K238" i="12"/>
  <c r="K237" i="12"/>
  <c r="K236" i="12"/>
  <c r="K235" i="12"/>
  <c r="K234" i="12"/>
  <c r="K233" i="12"/>
  <c r="K232" i="12"/>
  <c r="K231" i="12"/>
  <c r="K230" i="12"/>
  <c r="K229" i="12"/>
  <c r="K228" i="12"/>
  <c r="K227" i="12"/>
  <c r="K226" i="12"/>
  <c r="K225" i="12"/>
  <c r="K224" i="12"/>
  <c r="K223" i="12"/>
  <c r="K222" i="12"/>
  <c r="K221" i="12"/>
  <c r="K220" i="12"/>
  <c r="K219" i="12"/>
  <c r="K218" i="12"/>
  <c r="K217" i="12"/>
  <c r="K216" i="12"/>
  <c r="K215" i="12"/>
  <c r="K214" i="12"/>
  <c r="K213" i="12"/>
  <c r="K212" i="12"/>
  <c r="K211" i="12"/>
  <c r="K210" i="12"/>
  <c r="K209" i="12"/>
  <c r="K208" i="12"/>
  <c r="K207" i="12"/>
  <c r="K206" i="12"/>
  <c r="K205" i="12"/>
  <c r="K204" i="12"/>
  <c r="K203" i="12"/>
  <c r="K202" i="12"/>
  <c r="K201" i="12"/>
  <c r="K200" i="12"/>
  <c r="K199" i="12"/>
  <c r="K198" i="12"/>
  <c r="K197" i="12"/>
  <c r="K196" i="12"/>
  <c r="K195" i="12"/>
  <c r="K194" i="12"/>
  <c r="K193" i="12"/>
  <c r="K192" i="12"/>
  <c r="K191" i="12"/>
  <c r="K190" i="12"/>
  <c r="K189" i="12"/>
  <c r="K188" i="12"/>
  <c r="K187" i="12"/>
  <c r="K186" i="12"/>
  <c r="K185" i="12"/>
  <c r="K184" i="12"/>
  <c r="K183" i="12"/>
  <c r="K182" i="12"/>
  <c r="K181" i="12"/>
  <c r="K180" i="12"/>
  <c r="K179" i="12"/>
  <c r="K178" i="12"/>
  <c r="K177" i="12"/>
  <c r="K176" i="12"/>
  <c r="K175" i="12"/>
  <c r="K174" i="12"/>
  <c r="K173" i="12"/>
  <c r="K172" i="12"/>
  <c r="K171" i="12"/>
  <c r="K170" i="12"/>
  <c r="K169" i="12"/>
  <c r="K168" i="12"/>
  <c r="K167" i="12"/>
  <c r="K166" i="12"/>
  <c r="K165" i="12"/>
  <c r="K164" i="12"/>
  <c r="K163" i="12"/>
  <c r="K162" i="12"/>
  <c r="K161" i="12"/>
  <c r="K160" i="12"/>
  <c r="K159" i="12"/>
  <c r="K158" i="12"/>
  <c r="K157" i="12"/>
  <c r="K156" i="12"/>
  <c r="K155" i="12"/>
  <c r="K154" i="12"/>
  <c r="K153" i="12"/>
  <c r="K152" i="12"/>
  <c r="K151" i="12"/>
  <c r="K150" i="12"/>
  <c r="K149" i="12"/>
  <c r="K148" i="12"/>
  <c r="K147" i="12"/>
  <c r="K146" i="12"/>
  <c r="K145" i="12"/>
  <c r="K144" i="12"/>
  <c r="K143" i="12"/>
  <c r="K142" i="12"/>
  <c r="K141" i="12"/>
  <c r="K140" i="12"/>
  <c r="K139" i="12"/>
  <c r="K138" i="12"/>
  <c r="K137" i="12"/>
  <c r="K136" i="12"/>
  <c r="K135" i="12"/>
  <c r="K134" i="12"/>
  <c r="K133" i="12"/>
  <c r="K132" i="12"/>
  <c r="K131" i="12"/>
  <c r="K130" i="12"/>
  <c r="K129" i="12"/>
  <c r="K128" i="12"/>
  <c r="K127" i="12"/>
  <c r="K126" i="12"/>
  <c r="K125" i="12"/>
  <c r="K124" i="12"/>
  <c r="K123" i="12"/>
  <c r="K122" i="12"/>
  <c r="K121" i="12"/>
  <c r="K120" i="12"/>
  <c r="K119" i="12"/>
  <c r="K118" i="12"/>
  <c r="K117" i="12"/>
  <c r="K116" i="12"/>
  <c r="K115" i="12"/>
  <c r="K114" i="12"/>
  <c r="K113" i="12"/>
  <c r="K112" i="12"/>
  <c r="K111" i="12"/>
  <c r="K110" i="12"/>
  <c r="K109" i="12"/>
  <c r="K108" i="12"/>
  <c r="K107" i="12"/>
  <c r="K106" i="12"/>
  <c r="K105" i="12"/>
  <c r="K104" i="12"/>
  <c r="K103" i="12"/>
  <c r="K102" i="12"/>
  <c r="K101" i="12"/>
  <c r="K100" i="12"/>
  <c r="K99" i="12"/>
  <c r="K98" i="12"/>
  <c r="K97" i="12"/>
  <c r="K96" i="12"/>
  <c r="K95" i="12"/>
  <c r="K94" i="12"/>
  <c r="K93" i="12"/>
  <c r="K92" i="12"/>
  <c r="K91" i="12"/>
  <c r="K90" i="12"/>
  <c r="K89" i="12"/>
  <c r="K88" i="12"/>
  <c r="K87" i="12"/>
  <c r="K86" i="12"/>
  <c r="K85" i="12"/>
  <c r="K84" i="12"/>
  <c r="K83" i="12"/>
  <c r="K82" i="12"/>
  <c r="K81" i="12"/>
  <c r="K80" i="12"/>
  <c r="K79" i="12"/>
  <c r="K78" i="12"/>
  <c r="K77" i="12"/>
  <c r="K76" i="12"/>
  <c r="K75" i="12"/>
  <c r="K74" i="12"/>
  <c r="K73" i="12"/>
  <c r="K72" i="12"/>
  <c r="K71" i="12"/>
  <c r="K70" i="12"/>
  <c r="K69" i="12"/>
  <c r="K68" i="12"/>
  <c r="K67" i="12"/>
  <c r="K66" i="12"/>
  <c r="K65" i="12"/>
  <c r="K64" i="12"/>
  <c r="K63" i="12"/>
  <c r="K62" i="12"/>
  <c r="K61" i="12"/>
  <c r="K60" i="12"/>
  <c r="K59" i="12"/>
  <c r="K58" i="12"/>
  <c r="K57" i="12"/>
  <c r="K56" i="12"/>
  <c r="K55" i="12"/>
  <c r="K54" i="12"/>
  <c r="K53" i="12"/>
  <c r="K52" i="12"/>
  <c r="K51" i="12"/>
  <c r="K50" i="12"/>
  <c r="K49" i="12"/>
  <c r="K48" i="12"/>
  <c r="K47" i="12"/>
  <c r="K46" i="12"/>
  <c r="K45" i="12"/>
  <c r="K44" i="12"/>
  <c r="K43" i="12"/>
  <c r="K42" i="12"/>
  <c r="K41" i="12"/>
  <c r="K40" i="12"/>
  <c r="K39" i="12"/>
  <c r="K38" i="12"/>
  <c r="K37" i="12"/>
  <c r="K36" i="12"/>
  <c r="K35" i="12"/>
  <c r="K34" i="12"/>
  <c r="K33" i="12"/>
  <c r="K32" i="12"/>
  <c r="K31" i="12"/>
  <c r="K30" i="12"/>
  <c r="K29" i="12"/>
  <c r="K28" i="12"/>
  <c r="K27" i="12"/>
  <c r="K26" i="12"/>
  <c r="K25" i="12"/>
  <c r="K24" i="12"/>
  <c r="K23" i="12"/>
  <c r="K22" i="12"/>
  <c r="K21" i="12"/>
  <c r="K20" i="12"/>
  <c r="K19" i="12"/>
  <c r="K18" i="12"/>
  <c r="K17" i="12"/>
  <c r="K16" i="12"/>
  <c r="K15" i="12"/>
  <c r="K14" i="12"/>
  <c r="K13" i="12"/>
  <c r="K12" i="12"/>
  <c r="K11" i="12"/>
  <c r="K10" i="12"/>
  <c r="K9"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G69" i="12"/>
  <c r="G70" i="12"/>
  <c r="G71" i="12"/>
  <c r="G72" i="12"/>
  <c r="G73" i="12"/>
  <c r="G74" i="12"/>
  <c r="G75" i="12"/>
  <c r="G76" i="12"/>
  <c r="G77" i="12"/>
  <c r="G78" i="12"/>
  <c r="G79" i="12"/>
  <c r="G80" i="12"/>
  <c r="G81" i="12"/>
  <c r="G82" i="12"/>
  <c r="G83" i="12"/>
  <c r="G84" i="12"/>
  <c r="G85" i="12"/>
  <c r="G86" i="12"/>
  <c r="G87" i="12"/>
  <c r="G88" i="12"/>
  <c r="G89" i="12"/>
  <c r="G90" i="12"/>
  <c r="G91" i="12"/>
  <c r="G92" i="12"/>
  <c r="G93" i="12"/>
  <c r="G94" i="12"/>
  <c r="G95" i="12"/>
  <c r="G96" i="12"/>
  <c r="G97" i="12"/>
  <c r="G98" i="12"/>
  <c r="G99" i="12"/>
  <c r="G100" i="12"/>
  <c r="G101" i="12"/>
  <c r="G102" i="12"/>
  <c r="G103" i="12"/>
  <c r="G104" i="12"/>
  <c r="G105" i="12"/>
  <c r="G106" i="12"/>
  <c r="G107" i="12"/>
  <c r="G108" i="12"/>
  <c r="G109" i="12"/>
  <c r="G110" i="12"/>
  <c r="G111" i="12"/>
  <c r="G112" i="12"/>
  <c r="G113" i="12"/>
  <c r="G114" i="12"/>
  <c r="G115" i="12"/>
  <c r="G116" i="12"/>
  <c r="G117" i="12"/>
  <c r="G118" i="12"/>
  <c r="G119" i="12"/>
  <c r="G120" i="12"/>
  <c r="G121" i="12"/>
  <c r="G122" i="12"/>
  <c r="G123" i="12"/>
  <c r="G124" i="12"/>
  <c r="G125" i="12"/>
  <c r="G126" i="12"/>
  <c r="G127" i="12"/>
  <c r="G128" i="12"/>
  <c r="G129" i="12"/>
  <c r="G130" i="12"/>
  <c r="G131" i="12"/>
  <c r="G132" i="12"/>
  <c r="G133" i="12"/>
  <c r="G134" i="12"/>
  <c r="G135" i="12"/>
  <c r="G136" i="12"/>
  <c r="G137" i="12"/>
  <c r="G138" i="12"/>
  <c r="G139" i="12"/>
  <c r="G140" i="12"/>
  <c r="G141" i="12"/>
  <c r="G142" i="12"/>
  <c r="G143" i="12"/>
  <c r="G144" i="12"/>
  <c r="G145" i="12"/>
  <c r="G146" i="12"/>
  <c r="G147" i="12"/>
  <c r="G148" i="12"/>
  <c r="G149" i="12"/>
  <c r="G150" i="12"/>
  <c r="G151" i="12"/>
  <c r="G152" i="12"/>
  <c r="G153" i="12"/>
  <c r="G154" i="12"/>
  <c r="G155" i="12"/>
  <c r="G156" i="12"/>
  <c r="G157" i="12"/>
  <c r="G158" i="12"/>
  <c r="G159" i="12"/>
  <c r="G160" i="12"/>
  <c r="G161" i="12"/>
  <c r="G162" i="12"/>
  <c r="G163" i="12"/>
  <c r="G164" i="12"/>
  <c r="G165" i="12"/>
  <c r="G166" i="12"/>
  <c r="G167" i="12"/>
  <c r="G168" i="12"/>
  <c r="G169" i="12"/>
  <c r="G170" i="12"/>
  <c r="G171" i="12"/>
  <c r="G172" i="12"/>
  <c r="G173" i="12"/>
  <c r="G174" i="12"/>
  <c r="G175" i="12"/>
  <c r="G176" i="12"/>
  <c r="G177" i="12"/>
  <c r="G178" i="12"/>
  <c r="G179" i="12"/>
  <c r="G180" i="12"/>
  <c r="G181" i="12"/>
  <c r="G182" i="12"/>
  <c r="G183" i="12"/>
  <c r="G184" i="12"/>
  <c r="G185" i="12"/>
  <c r="G186" i="12"/>
  <c r="G187" i="12"/>
  <c r="G188" i="12"/>
  <c r="G189" i="12"/>
  <c r="G190" i="12"/>
  <c r="G191" i="12"/>
  <c r="G192" i="12"/>
  <c r="G193" i="12"/>
  <c r="G194" i="12"/>
  <c r="G195" i="12"/>
  <c r="G196" i="12"/>
  <c r="G197" i="12"/>
  <c r="G198" i="12"/>
  <c r="G199" i="12"/>
  <c r="G200" i="12"/>
  <c r="G201" i="12"/>
  <c r="G202" i="12"/>
  <c r="G203" i="12"/>
  <c r="G204" i="12"/>
  <c r="G205" i="12"/>
  <c r="G206" i="12"/>
  <c r="G207" i="12"/>
  <c r="G208" i="12"/>
  <c r="G209" i="12"/>
  <c r="G210" i="12"/>
  <c r="G211" i="12"/>
  <c r="G212" i="12"/>
  <c r="G213" i="12"/>
  <c r="G214" i="12"/>
  <c r="G215" i="12"/>
  <c r="G216" i="12"/>
  <c r="G217" i="12"/>
  <c r="G218" i="12"/>
  <c r="G219" i="12"/>
  <c r="G220" i="12"/>
  <c r="G221" i="12"/>
  <c r="G222" i="12"/>
  <c r="G223" i="12"/>
  <c r="G224" i="12"/>
  <c r="G225" i="12"/>
  <c r="G226" i="12"/>
  <c r="G227" i="12"/>
  <c r="G228" i="12"/>
  <c r="G229" i="12"/>
  <c r="G230" i="12"/>
  <c r="G231" i="12"/>
  <c r="G232" i="12"/>
  <c r="G233" i="12"/>
  <c r="G234" i="12"/>
  <c r="G235" i="12"/>
  <c r="G236" i="12"/>
  <c r="G237" i="12"/>
  <c r="G238" i="12"/>
  <c r="G239" i="12"/>
  <c r="G240" i="12"/>
  <c r="G241" i="12"/>
  <c r="G242" i="12"/>
  <c r="G243" i="12"/>
  <c r="G244" i="12"/>
  <c r="G245" i="12"/>
  <c r="G246" i="12"/>
  <c r="G247" i="12"/>
  <c r="G248" i="12"/>
  <c r="G249" i="12"/>
  <c r="G250" i="12"/>
  <c r="G251" i="12"/>
  <c r="G252" i="12"/>
  <c r="G253" i="12"/>
  <c r="G254" i="12"/>
  <c r="G255" i="12"/>
  <c r="G256" i="12"/>
  <c r="G257" i="12"/>
  <c r="G258" i="12"/>
  <c r="G259" i="12"/>
  <c r="G260" i="12"/>
  <c r="G261" i="12"/>
  <c r="G262" i="12"/>
  <c r="G263" i="12"/>
  <c r="G264" i="12"/>
  <c r="G265" i="12"/>
  <c r="G266" i="12"/>
  <c r="G267" i="12"/>
  <c r="G268" i="12"/>
  <c r="G269" i="12"/>
  <c r="G270" i="12"/>
  <c r="G271" i="12"/>
  <c r="G272" i="12"/>
  <c r="G273" i="12"/>
  <c r="G274" i="12"/>
  <c r="G275" i="12"/>
  <c r="G276" i="12"/>
  <c r="G277" i="12"/>
  <c r="G278" i="12"/>
  <c r="G279" i="12"/>
  <c r="G280" i="12"/>
  <c r="G281" i="12"/>
  <c r="G282" i="12"/>
  <c r="G283" i="12"/>
  <c r="G284" i="12"/>
  <c r="G285" i="12"/>
  <c r="G286" i="12"/>
  <c r="G287" i="12"/>
  <c r="G288" i="12"/>
  <c r="G289" i="12"/>
  <c r="G290" i="12"/>
  <c r="G291" i="12"/>
  <c r="G292" i="12"/>
  <c r="G293" i="12"/>
  <c r="G294" i="12"/>
  <c r="G295" i="12"/>
  <c r="G296" i="12"/>
  <c r="G297" i="12"/>
  <c r="G298" i="12"/>
  <c r="G299" i="12"/>
  <c r="G300" i="12"/>
  <c r="G301" i="12"/>
  <c r="G302" i="12"/>
  <c r="G303" i="12"/>
  <c r="G304" i="12"/>
  <c r="G305" i="12"/>
  <c r="G306" i="12"/>
  <c r="G307" i="12"/>
  <c r="G308" i="12"/>
  <c r="G309" i="12"/>
  <c r="G310" i="12"/>
  <c r="G311" i="12"/>
  <c r="G312" i="12"/>
  <c r="G313" i="12"/>
  <c r="G314" i="12"/>
  <c r="G315" i="12"/>
  <c r="G316" i="12"/>
  <c r="G317" i="12"/>
  <c r="G318" i="12"/>
  <c r="G319" i="12"/>
  <c r="G320" i="12"/>
  <c r="G321" i="12"/>
  <c r="G322" i="12"/>
  <c r="G323" i="12"/>
  <c r="G324" i="12"/>
  <c r="G325" i="12"/>
  <c r="G326" i="12"/>
  <c r="G327" i="12"/>
  <c r="G328" i="12"/>
  <c r="G329" i="12"/>
  <c r="G330" i="12"/>
  <c r="G331" i="12"/>
  <c r="G332" i="12"/>
  <c r="G333" i="12"/>
  <c r="G334" i="12"/>
  <c r="G335" i="12"/>
  <c r="G336" i="12"/>
  <c r="G337" i="12"/>
  <c r="G338" i="12"/>
  <c r="G339" i="12"/>
  <c r="G340" i="12"/>
  <c r="G341" i="12"/>
  <c r="G342" i="12"/>
  <c r="G343" i="12"/>
  <c r="G344" i="12"/>
  <c r="G345" i="12"/>
  <c r="G346" i="12"/>
  <c r="G347" i="12"/>
  <c r="G348" i="12"/>
  <c r="G349" i="12"/>
  <c r="G350" i="12"/>
  <c r="G351" i="12"/>
  <c r="G352" i="12"/>
  <c r="G353" i="12"/>
  <c r="G354" i="12"/>
  <c r="G355" i="12"/>
  <c r="G356" i="12"/>
  <c r="G357" i="12"/>
  <c r="G358" i="12"/>
  <c r="G359" i="12"/>
  <c r="G360" i="12"/>
  <c r="G361" i="12"/>
  <c r="G362" i="12"/>
  <c r="G363" i="12"/>
  <c r="G364" i="12"/>
  <c r="G365" i="12"/>
  <c r="G366" i="12"/>
  <c r="G367" i="12"/>
  <c r="G368" i="12"/>
  <c r="G369" i="12"/>
  <c r="G370" i="12"/>
  <c r="G371" i="12"/>
  <c r="G372" i="12"/>
  <c r="G373" i="12"/>
  <c r="G374" i="12"/>
  <c r="G375" i="12"/>
  <c r="G376" i="12"/>
  <c r="G377" i="12"/>
  <c r="G378" i="12"/>
  <c r="G379" i="12"/>
  <c r="G380" i="12"/>
  <c r="G381" i="12"/>
  <c r="G382" i="12"/>
  <c r="G383" i="12"/>
  <c r="G384" i="12"/>
  <c r="G385" i="12"/>
  <c r="G386" i="12"/>
  <c r="G387" i="12"/>
  <c r="G388" i="12"/>
  <c r="G389" i="12"/>
  <c r="G390" i="12"/>
  <c r="G391" i="12"/>
  <c r="G392" i="12"/>
  <c r="G393" i="12"/>
  <c r="G394" i="12"/>
  <c r="G395" i="12"/>
  <c r="G396" i="12"/>
  <c r="G397" i="12"/>
  <c r="G398" i="12"/>
  <c r="G399" i="12"/>
  <c r="G400" i="12"/>
  <c r="G401" i="12"/>
  <c r="G402" i="12"/>
  <c r="G403" i="12"/>
  <c r="G404" i="12"/>
  <c r="G405" i="12"/>
  <c r="G406" i="12"/>
  <c r="G407" i="12"/>
  <c r="G408" i="12"/>
  <c r="G409" i="12"/>
  <c r="G410" i="12"/>
  <c r="G411" i="12"/>
  <c r="G412" i="12"/>
  <c r="G413" i="12"/>
  <c r="G414" i="12"/>
  <c r="G415" i="12"/>
  <c r="G416" i="12"/>
  <c r="G417" i="12"/>
  <c r="G418" i="12"/>
  <c r="G419" i="12"/>
  <c r="G420" i="12"/>
  <c r="G421" i="12"/>
  <c r="G422" i="12"/>
  <c r="G423" i="12"/>
  <c r="G424" i="12"/>
  <c r="G425" i="12"/>
  <c r="G426" i="12"/>
  <c r="G427" i="12"/>
  <c r="G428" i="12"/>
  <c r="G429" i="12"/>
  <c r="G430" i="12"/>
  <c r="G431" i="12"/>
  <c r="G432" i="12"/>
  <c r="G433" i="12"/>
  <c r="G434" i="12"/>
  <c r="G435" i="12"/>
  <c r="G436" i="12"/>
  <c r="G437" i="12"/>
  <c r="G438" i="12"/>
  <c r="G439" i="12"/>
  <c r="G440" i="12"/>
  <c r="G441" i="12"/>
  <c r="G442" i="12"/>
  <c r="G443" i="12"/>
  <c r="G444" i="12"/>
  <c r="G445" i="12"/>
  <c r="G446" i="12"/>
  <c r="G447" i="12"/>
  <c r="G448" i="12"/>
  <c r="G449" i="12"/>
  <c r="G450" i="12"/>
  <c r="G451" i="12"/>
  <c r="G452" i="12"/>
  <c r="G453" i="12"/>
  <c r="G454" i="12"/>
  <c r="G455" i="12"/>
  <c r="G456" i="12"/>
  <c r="G457" i="12"/>
  <c r="G458" i="12"/>
  <c r="G459" i="12"/>
  <c r="G460" i="12"/>
  <c r="G461" i="12"/>
  <c r="G462" i="12"/>
  <c r="G463" i="12"/>
  <c r="G464" i="12"/>
  <c r="G465" i="12"/>
  <c r="G466" i="12"/>
  <c r="G467" i="12"/>
  <c r="G468" i="12"/>
  <c r="G469" i="12"/>
  <c r="G470" i="12"/>
  <c r="G471" i="12"/>
  <c r="G472" i="12"/>
  <c r="G473" i="12"/>
  <c r="G474" i="12"/>
  <c r="G475" i="12"/>
  <c r="G476" i="12"/>
  <c r="G477" i="12"/>
  <c r="G478" i="12"/>
  <c r="G479" i="12"/>
  <c r="G480" i="12"/>
  <c r="G481" i="12"/>
  <c r="G482" i="12"/>
  <c r="G483" i="12"/>
  <c r="G484" i="12"/>
  <c r="G485" i="12"/>
  <c r="G486" i="12"/>
  <c r="G487" i="12"/>
  <c r="G488" i="12"/>
  <c r="G489" i="12"/>
  <c r="G490" i="12"/>
  <c r="G491" i="12"/>
  <c r="G492" i="12"/>
  <c r="G493" i="12"/>
  <c r="G494" i="12"/>
  <c r="G495" i="12"/>
  <c r="G496" i="12"/>
  <c r="G497" i="12"/>
  <c r="G498" i="12"/>
  <c r="G499" i="12"/>
  <c r="G500" i="12"/>
  <c r="G501" i="12"/>
  <c r="G502" i="12"/>
  <c r="G503" i="12"/>
  <c r="G504" i="12"/>
  <c r="G505" i="12"/>
  <c r="G506" i="12"/>
  <c r="G507" i="12"/>
  <c r="G508" i="12"/>
  <c r="G509" i="12"/>
  <c r="G510" i="12"/>
  <c r="G511" i="12"/>
  <c r="G512" i="12"/>
  <c r="G513" i="12"/>
  <c r="G514" i="12"/>
  <c r="G515" i="12"/>
  <c r="G516" i="12"/>
  <c r="G517" i="12"/>
  <c r="G518" i="12"/>
  <c r="G519" i="12"/>
  <c r="G520" i="12"/>
  <c r="G521" i="12"/>
  <c r="G522" i="12"/>
  <c r="G523" i="12"/>
  <c r="G524" i="12"/>
  <c r="G525" i="12"/>
  <c r="G526" i="12"/>
  <c r="G527" i="12"/>
  <c r="G528" i="12"/>
  <c r="G529" i="12"/>
  <c r="G530" i="12"/>
  <c r="G531" i="12"/>
  <c r="G532" i="12"/>
  <c r="G533" i="12"/>
  <c r="G534" i="12"/>
  <c r="G535" i="12"/>
  <c r="G536" i="12"/>
  <c r="G537" i="12"/>
  <c r="G538" i="12"/>
  <c r="G539" i="12"/>
  <c r="G540" i="12"/>
  <c r="G541" i="12"/>
  <c r="G542" i="12"/>
  <c r="G543" i="12"/>
  <c r="G544" i="12"/>
  <c r="G545" i="12"/>
  <c r="G546" i="12"/>
  <c r="G547" i="12"/>
  <c r="G548" i="12"/>
  <c r="G549" i="12"/>
  <c r="G550" i="12"/>
  <c r="G551" i="12"/>
  <c r="G552" i="12"/>
  <c r="G553" i="12"/>
  <c r="G554" i="12"/>
  <c r="G555" i="12"/>
  <c r="G556" i="12"/>
  <c r="G557" i="12"/>
  <c r="G558" i="12"/>
  <c r="G559" i="12"/>
  <c r="G560" i="12"/>
  <c r="G561" i="12"/>
  <c r="G562" i="12"/>
  <c r="G563" i="12"/>
  <c r="G564" i="12"/>
  <c r="G565" i="12"/>
  <c r="G566" i="12"/>
  <c r="G567" i="12"/>
  <c r="G568" i="12"/>
  <c r="G569" i="12"/>
  <c r="G570" i="12"/>
  <c r="G571" i="12"/>
  <c r="G572" i="12"/>
  <c r="G573" i="12"/>
  <c r="G574" i="12"/>
  <c r="G575" i="12"/>
  <c r="G576" i="12"/>
  <c r="G577" i="12"/>
  <c r="G578" i="12"/>
  <c r="G579" i="12"/>
  <c r="G580" i="12"/>
  <c r="G581" i="12"/>
  <c r="G582" i="12"/>
  <c r="G583" i="12"/>
  <c r="G584" i="12"/>
  <c r="G585" i="12"/>
  <c r="G586" i="12"/>
  <c r="G587" i="12"/>
  <c r="G588" i="12"/>
  <c r="G589" i="12"/>
  <c r="G590" i="12"/>
  <c r="G591" i="12"/>
  <c r="G592" i="12"/>
  <c r="G593" i="12"/>
  <c r="G594" i="12"/>
  <c r="G595" i="12"/>
  <c r="G596" i="12"/>
  <c r="G597" i="12"/>
  <c r="G598" i="12"/>
  <c r="G599" i="12"/>
  <c r="G600" i="12"/>
  <c r="G601" i="12"/>
  <c r="G602" i="12"/>
  <c r="G603" i="12"/>
  <c r="G604" i="12"/>
  <c r="G605" i="12"/>
  <c r="G606" i="12"/>
  <c r="G607" i="12"/>
  <c r="G608" i="12"/>
  <c r="G609" i="12"/>
  <c r="G610" i="12"/>
  <c r="G611" i="12"/>
  <c r="G612" i="12"/>
  <c r="G613" i="12"/>
  <c r="G614" i="12"/>
  <c r="G615" i="12"/>
  <c r="G616" i="12"/>
  <c r="G617" i="12"/>
  <c r="G618" i="12"/>
  <c r="G619" i="12"/>
  <c r="G620" i="12"/>
  <c r="G621" i="12"/>
  <c r="G622" i="12"/>
  <c r="G623" i="12"/>
  <c r="G624" i="12"/>
  <c r="G625" i="12"/>
  <c r="G626" i="12"/>
  <c r="G627" i="12"/>
  <c r="G628" i="12"/>
  <c r="G629" i="12"/>
  <c r="G630" i="12"/>
  <c r="G631" i="12"/>
  <c r="G632" i="12"/>
  <c r="G633" i="12"/>
  <c r="G634" i="12"/>
  <c r="G635" i="12"/>
  <c r="G636" i="12"/>
  <c r="G637" i="12"/>
  <c r="G638" i="12"/>
  <c r="G639" i="12"/>
  <c r="G640" i="12"/>
  <c r="G641" i="12"/>
  <c r="G642" i="12"/>
  <c r="G643" i="12"/>
  <c r="G644" i="12"/>
  <c r="G645" i="12"/>
  <c r="G646" i="12"/>
  <c r="G647" i="12"/>
  <c r="G648" i="12"/>
  <c r="G649" i="12"/>
  <c r="G650" i="12"/>
  <c r="G651" i="12"/>
  <c r="G652" i="12"/>
  <c r="G653" i="12"/>
  <c r="G654" i="12"/>
  <c r="G655" i="12"/>
  <c r="G656" i="12"/>
  <c r="G657" i="12"/>
  <c r="G658" i="12"/>
  <c r="G659" i="12"/>
  <c r="G660" i="12"/>
  <c r="G661" i="12"/>
  <c r="G662" i="12"/>
  <c r="G663" i="12"/>
  <c r="G664" i="12"/>
  <c r="G665" i="12"/>
  <c r="G666" i="12"/>
  <c r="G667" i="12"/>
  <c r="G668" i="12"/>
  <c r="G669" i="12"/>
  <c r="G670" i="12"/>
  <c r="G671" i="12"/>
  <c r="G672" i="12"/>
  <c r="G673" i="12"/>
  <c r="G674" i="12"/>
  <c r="G675" i="12"/>
  <c r="G676" i="12"/>
  <c r="G677" i="12"/>
  <c r="G678" i="12"/>
  <c r="G679" i="12"/>
  <c r="G680" i="12"/>
  <c r="G681" i="12"/>
  <c r="G682" i="12"/>
  <c r="G683" i="12"/>
  <c r="G684" i="12"/>
  <c r="G685" i="12"/>
  <c r="G686" i="12"/>
  <c r="G687" i="12"/>
  <c r="G688" i="12"/>
  <c r="G689" i="12"/>
  <c r="G690" i="12"/>
  <c r="G691" i="12"/>
  <c r="G692" i="12"/>
  <c r="G693" i="12"/>
  <c r="G694" i="12"/>
  <c r="G695" i="12"/>
  <c r="G696" i="12"/>
  <c r="G697" i="12"/>
  <c r="G698" i="12"/>
  <c r="G699" i="12"/>
  <c r="G700" i="12"/>
  <c r="G701" i="12"/>
  <c r="G702" i="12"/>
  <c r="G703" i="12"/>
  <c r="G704" i="12"/>
  <c r="G705" i="12"/>
  <c r="G706" i="12"/>
  <c r="G707" i="12"/>
  <c r="G708" i="12"/>
  <c r="G709" i="12"/>
  <c r="G710" i="12"/>
  <c r="G711" i="12"/>
  <c r="G712" i="12"/>
  <c r="G713" i="12"/>
  <c r="G714" i="12"/>
  <c r="G715" i="12"/>
  <c r="G716" i="12"/>
  <c r="G717" i="12"/>
  <c r="G718" i="12"/>
  <c r="G719" i="12"/>
  <c r="G720" i="12"/>
  <c r="G721" i="12"/>
  <c r="G722" i="12"/>
  <c r="G723" i="12"/>
  <c r="G724" i="12"/>
  <c r="G725" i="12"/>
  <c r="G726" i="12"/>
  <c r="G727" i="12"/>
  <c r="G728" i="12"/>
  <c r="G729" i="12"/>
  <c r="G730" i="12"/>
  <c r="G731" i="12"/>
  <c r="G732" i="12"/>
  <c r="G733" i="12"/>
  <c r="G734" i="12"/>
  <c r="G735" i="12"/>
  <c r="G736" i="12"/>
  <c r="G737" i="12"/>
  <c r="G738" i="12"/>
  <c r="G739" i="12"/>
  <c r="G740" i="12"/>
  <c r="G741" i="12"/>
  <c r="G742" i="12"/>
  <c r="G743" i="12"/>
  <c r="G744" i="12"/>
  <c r="G745" i="12"/>
  <c r="G746" i="12"/>
  <c r="G747" i="12"/>
  <c r="G748" i="12"/>
  <c r="G749" i="12"/>
  <c r="G750" i="12"/>
  <c r="G751" i="12"/>
  <c r="G752" i="12"/>
  <c r="G753" i="12"/>
  <c r="G754" i="12"/>
  <c r="G755" i="12"/>
  <c r="G756" i="12"/>
  <c r="G757" i="12"/>
  <c r="G758" i="12"/>
  <c r="G759" i="12"/>
  <c r="G760" i="12"/>
  <c r="G761" i="12"/>
  <c r="G762" i="12"/>
  <c r="G763" i="12"/>
  <c r="G764" i="12"/>
  <c r="G765" i="12"/>
  <c r="G766" i="12"/>
  <c r="G767" i="12"/>
  <c r="G768" i="12"/>
  <c r="G769" i="12"/>
  <c r="G770" i="12"/>
  <c r="G771" i="12"/>
  <c r="G772" i="12"/>
  <c r="G773" i="12"/>
  <c r="G774" i="12"/>
  <c r="G775" i="12"/>
  <c r="G776" i="12"/>
  <c r="G777" i="12"/>
  <c r="G778" i="12"/>
  <c r="G779" i="12"/>
  <c r="G780" i="12"/>
  <c r="G781" i="12"/>
  <c r="G782" i="12"/>
  <c r="G783" i="12"/>
  <c r="G784" i="12"/>
  <c r="G785" i="12"/>
  <c r="G786" i="12"/>
  <c r="G787" i="12"/>
  <c r="G788" i="12"/>
  <c r="G789" i="12"/>
  <c r="G790" i="12"/>
  <c r="G791" i="12"/>
  <c r="G792" i="12"/>
  <c r="G793" i="12"/>
  <c r="G794" i="12"/>
  <c r="G795" i="12"/>
  <c r="G796" i="12"/>
  <c r="G797" i="12"/>
  <c r="G798" i="12"/>
  <c r="G799" i="12"/>
  <c r="G800" i="12"/>
  <c r="G801" i="12"/>
  <c r="G802" i="12"/>
  <c r="G803" i="12"/>
  <c r="G804" i="12"/>
  <c r="G805" i="12"/>
  <c r="G806" i="12"/>
  <c r="G807" i="12"/>
  <c r="G808" i="12"/>
  <c r="G809" i="12"/>
  <c r="G810" i="12"/>
  <c r="G811" i="12"/>
  <c r="G812" i="12"/>
  <c r="G813" i="12"/>
  <c r="G814" i="12"/>
  <c r="G815" i="12"/>
  <c r="G816" i="12"/>
  <c r="G817" i="12"/>
  <c r="G818" i="12"/>
  <c r="G819" i="12"/>
  <c r="G820" i="12"/>
  <c r="G821" i="12"/>
  <c r="G822" i="12"/>
  <c r="G823" i="12"/>
  <c r="G824" i="12"/>
  <c r="G825" i="12"/>
  <c r="G826" i="12"/>
  <c r="G827" i="12"/>
  <c r="G828" i="12"/>
  <c r="G829" i="12"/>
  <c r="G830" i="12"/>
  <c r="G831" i="12"/>
  <c r="G832" i="12"/>
  <c r="G833" i="12"/>
  <c r="G834" i="12"/>
  <c r="G835" i="12"/>
  <c r="G836" i="12"/>
  <c r="G837" i="12"/>
  <c r="G838" i="12"/>
  <c r="G839" i="12"/>
  <c r="G840" i="12"/>
  <c r="G841" i="12"/>
  <c r="G842" i="12"/>
  <c r="G843" i="12"/>
  <c r="G844" i="12"/>
  <c r="G845" i="12"/>
  <c r="G846" i="12"/>
  <c r="G847" i="12"/>
  <c r="G848" i="12"/>
  <c r="G849" i="12"/>
  <c r="G850" i="12"/>
  <c r="G851" i="12"/>
  <c r="G852" i="12"/>
  <c r="G853" i="12"/>
  <c r="G854" i="12"/>
  <c r="G855" i="12"/>
  <c r="G856" i="12"/>
  <c r="G857" i="12"/>
  <c r="G858" i="12"/>
  <c r="G859" i="12"/>
  <c r="G860" i="12"/>
  <c r="G861" i="12"/>
  <c r="G862" i="12"/>
  <c r="G863" i="12"/>
  <c r="G864" i="12"/>
  <c r="G865" i="12"/>
  <c r="G866" i="12"/>
  <c r="G867" i="12"/>
  <c r="G868" i="12"/>
  <c r="G869" i="12"/>
  <c r="G870" i="12"/>
  <c r="G871" i="12"/>
  <c r="G872" i="12"/>
  <c r="G873" i="12"/>
  <c r="G874" i="12"/>
  <c r="G875" i="12"/>
  <c r="G876" i="12"/>
  <c r="G877" i="12"/>
  <c r="G878" i="12"/>
  <c r="G879" i="12"/>
  <c r="G880" i="12"/>
  <c r="G881" i="12"/>
  <c r="G882" i="12"/>
  <c r="G883" i="12"/>
  <c r="G884" i="12"/>
  <c r="G885" i="12"/>
  <c r="G886" i="12"/>
  <c r="G887" i="12"/>
  <c r="G888" i="12"/>
  <c r="G889" i="12"/>
  <c r="G890" i="12"/>
  <c r="G891" i="12"/>
  <c r="G892" i="12"/>
  <c r="G893" i="12"/>
  <c r="G894" i="12"/>
  <c r="G895" i="12"/>
  <c r="G896" i="12"/>
  <c r="G897" i="12"/>
  <c r="G898" i="12"/>
  <c r="G899" i="12"/>
  <c r="G900" i="12"/>
  <c r="G901" i="12"/>
  <c r="G902" i="12"/>
  <c r="G903" i="12"/>
  <c r="G904" i="12"/>
  <c r="G905" i="12"/>
  <c r="G906" i="12"/>
  <c r="G907" i="12"/>
  <c r="G908" i="12"/>
  <c r="G909" i="12"/>
  <c r="G910" i="12"/>
  <c r="G911" i="12"/>
  <c r="G912" i="12"/>
  <c r="G913" i="12"/>
  <c r="G914" i="12"/>
  <c r="G915" i="12"/>
  <c r="G916" i="12"/>
  <c r="G917" i="12"/>
  <c r="G918" i="12"/>
  <c r="G919" i="12"/>
  <c r="G920" i="12"/>
  <c r="G921" i="12"/>
  <c r="G922" i="12"/>
  <c r="G923" i="12"/>
  <c r="G924" i="12"/>
  <c r="G925" i="12"/>
  <c r="G926" i="12"/>
  <c r="G927" i="12"/>
  <c r="G928" i="12"/>
  <c r="G929" i="12"/>
  <c r="G930" i="12"/>
  <c r="G931" i="12"/>
  <c r="G932" i="12"/>
  <c r="G933" i="12"/>
  <c r="G934" i="12"/>
  <c r="G935" i="12"/>
  <c r="G936" i="12"/>
  <c r="G937" i="12"/>
  <c r="G938" i="12"/>
  <c r="G939" i="12"/>
  <c r="G940" i="12"/>
  <c r="G941" i="12"/>
  <c r="G942" i="12"/>
  <c r="G943" i="12"/>
  <c r="G944" i="12"/>
  <c r="G945" i="12"/>
  <c r="G946" i="12"/>
  <c r="G947" i="12"/>
  <c r="G948" i="12"/>
  <c r="G949" i="12"/>
  <c r="G950" i="12"/>
  <c r="G951" i="12"/>
  <c r="G952" i="12"/>
  <c r="G953" i="12"/>
  <c r="G954" i="12"/>
  <c r="G955" i="12"/>
  <c r="G956" i="12"/>
  <c r="G957" i="12"/>
  <c r="G958" i="12"/>
  <c r="G959" i="12"/>
  <c r="G960" i="12"/>
  <c r="G961" i="12"/>
  <c r="G962" i="12"/>
  <c r="G963" i="12"/>
  <c r="G964" i="12"/>
  <c r="G965" i="12"/>
  <c r="G966" i="12"/>
  <c r="G967" i="12"/>
  <c r="G968" i="12"/>
  <c r="G969" i="12"/>
  <c r="G970" i="12"/>
  <c r="G971" i="12"/>
  <c r="G972" i="12"/>
  <c r="G973" i="12"/>
  <c r="G974" i="12"/>
  <c r="G975" i="12"/>
  <c r="G976" i="12"/>
  <c r="G977" i="12"/>
  <c r="G978" i="12"/>
  <c r="G979" i="12"/>
  <c r="G980" i="12"/>
  <c r="G981" i="12"/>
  <c r="G982" i="12"/>
  <c r="G983" i="12"/>
  <c r="G984" i="12"/>
  <c r="G985" i="12"/>
  <c r="G986" i="12"/>
  <c r="G987" i="12"/>
  <c r="G988" i="12"/>
  <c r="G989" i="12"/>
  <c r="G990" i="12"/>
  <c r="G991" i="12"/>
  <c r="G992" i="12"/>
  <c r="G993" i="12"/>
  <c r="G994" i="12"/>
  <c r="G995" i="12"/>
  <c r="G996" i="12"/>
  <c r="G997" i="12"/>
  <c r="G998" i="12"/>
  <c r="G999" i="12"/>
  <c r="G1000" i="12"/>
  <c r="G1001" i="12"/>
  <c r="G1002" i="12"/>
  <c r="G1003" i="12"/>
  <c r="G1004" i="12"/>
  <c r="G1005" i="12"/>
  <c r="G1006" i="12"/>
  <c r="G1007" i="12"/>
  <c r="G1008" i="12"/>
  <c r="G1009" i="12"/>
  <c r="G1010" i="12"/>
  <c r="G1011" i="12"/>
  <c r="G1012" i="12"/>
  <c r="G1013" i="12"/>
  <c r="G1014" i="12"/>
  <c r="G1015" i="12"/>
  <c r="G1016" i="12"/>
  <c r="G1017" i="12"/>
  <c r="G1018" i="12"/>
  <c r="G1019" i="12"/>
  <c r="G1020" i="12"/>
  <c r="G1021" i="12"/>
  <c r="G1022" i="12"/>
  <c r="G1023" i="12"/>
  <c r="G1024" i="12"/>
  <c r="G1025" i="12"/>
  <c r="G1026" i="12"/>
  <c r="G1027" i="12"/>
  <c r="G1028" i="12"/>
  <c r="G1029" i="12"/>
  <c r="G1030" i="12"/>
  <c r="G1031" i="12"/>
  <c r="G1032" i="12"/>
  <c r="G1033" i="12"/>
  <c r="G1034" i="12"/>
  <c r="G1035" i="12"/>
  <c r="G1036" i="12"/>
  <c r="G1037" i="12"/>
  <c r="G1038" i="12"/>
  <c r="G1039" i="12"/>
  <c r="G1040" i="12"/>
  <c r="G1041" i="12"/>
  <c r="G1042" i="12"/>
  <c r="G1043" i="12"/>
  <c r="G1044" i="12"/>
  <c r="G1045" i="12"/>
  <c r="G1046" i="12"/>
  <c r="G1047" i="12"/>
  <c r="G1048" i="12"/>
  <c r="G1049" i="12"/>
  <c r="G1050" i="12"/>
  <c r="G1051" i="12"/>
  <c r="G1052" i="12"/>
  <c r="G1053" i="12"/>
  <c r="G1054" i="12"/>
  <c r="G1055" i="12"/>
  <c r="G1056" i="12"/>
  <c r="G1057" i="12"/>
  <c r="G1058" i="12"/>
  <c r="G1059" i="12"/>
  <c r="G1060" i="12"/>
  <c r="G1061" i="12"/>
  <c r="G1062" i="12"/>
  <c r="G1063" i="12"/>
  <c r="G1064" i="12"/>
  <c r="G1065" i="12"/>
  <c r="G1066" i="12"/>
  <c r="G1067" i="12"/>
  <c r="G1068" i="12"/>
  <c r="G1069" i="12"/>
  <c r="G1070" i="12"/>
  <c r="G1071" i="12"/>
  <c r="G1072" i="12"/>
  <c r="G1073" i="12"/>
  <c r="G1074" i="12"/>
  <c r="G1075" i="12"/>
  <c r="G1076" i="12"/>
  <c r="G1077" i="12"/>
  <c r="G1078" i="12"/>
  <c r="G1079" i="12"/>
  <c r="G1080" i="12"/>
  <c r="G1081" i="12"/>
  <c r="G1082" i="12"/>
  <c r="G1083" i="12"/>
  <c r="G1084" i="12"/>
  <c r="G1085" i="12"/>
  <c r="G1086" i="12"/>
  <c r="G1087" i="12"/>
  <c r="G1088" i="12"/>
  <c r="G1089" i="12"/>
  <c r="G1090" i="12"/>
  <c r="G1091" i="12"/>
  <c r="G1092" i="12"/>
  <c r="G1093" i="12"/>
  <c r="G1094" i="12"/>
  <c r="G1095" i="12"/>
  <c r="G1096" i="12"/>
  <c r="G1097" i="12"/>
  <c r="G1098" i="12"/>
  <c r="G1099" i="12"/>
  <c r="G1100" i="12"/>
  <c r="G1101" i="12"/>
  <c r="G1102" i="12"/>
  <c r="G1103" i="12"/>
  <c r="G1104" i="12"/>
  <c r="G1105" i="12"/>
  <c r="G1106" i="12"/>
  <c r="G1107" i="12"/>
  <c r="G1108" i="12"/>
  <c r="G1109" i="12"/>
  <c r="G1110" i="12"/>
  <c r="G1111" i="12"/>
  <c r="G1112" i="12"/>
  <c r="G1113" i="12"/>
  <c r="G1114" i="12"/>
  <c r="G1115" i="12"/>
  <c r="G1116" i="12"/>
  <c r="G1117" i="12"/>
  <c r="G1118" i="12"/>
  <c r="G1119" i="12"/>
  <c r="G1120" i="12"/>
  <c r="G1121" i="12"/>
  <c r="G1122" i="12"/>
  <c r="G1123" i="12"/>
  <c r="G1124" i="12"/>
  <c r="G1125" i="12"/>
  <c r="G1126" i="12"/>
  <c r="G1127" i="12"/>
  <c r="G1128" i="12"/>
  <c r="G1129" i="12"/>
  <c r="G1130" i="12"/>
  <c r="G1131" i="12"/>
  <c r="G1132" i="12"/>
  <c r="G1133" i="12"/>
  <c r="G1134" i="12"/>
  <c r="G1135" i="12"/>
  <c r="G1136" i="12"/>
  <c r="G1137" i="12"/>
  <c r="G1138" i="12"/>
  <c r="G1139" i="12"/>
  <c r="G1140" i="12"/>
  <c r="G1141" i="12"/>
  <c r="G1142" i="12"/>
  <c r="G1143" i="12"/>
  <c r="G1144" i="12"/>
  <c r="G1145" i="12"/>
  <c r="G1146" i="12"/>
  <c r="G1147" i="12"/>
  <c r="G1148" i="12"/>
  <c r="G1149" i="12"/>
  <c r="G1150" i="12"/>
  <c r="G1151" i="12"/>
  <c r="G1152" i="12"/>
  <c r="G1153" i="12"/>
  <c r="G1154" i="12"/>
  <c r="G1155" i="12"/>
  <c r="G1156" i="12"/>
  <c r="G1157" i="12"/>
  <c r="G1158" i="12"/>
  <c r="G1159" i="12"/>
  <c r="G1160" i="12"/>
  <c r="G1161" i="12"/>
  <c r="G1162" i="12"/>
  <c r="G1163" i="12"/>
  <c r="G1164" i="12"/>
  <c r="G1165" i="12"/>
  <c r="G1166" i="12"/>
  <c r="G1167" i="12"/>
  <c r="G1168" i="12"/>
  <c r="G1169" i="12"/>
  <c r="G1170" i="12"/>
  <c r="G1171" i="12"/>
  <c r="G1172" i="12"/>
  <c r="G1173" i="12"/>
  <c r="G1174" i="12"/>
  <c r="G1175" i="12"/>
  <c r="G1176" i="12"/>
  <c r="G1177" i="12"/>
  <c r="G1178" i="12"/>
  <c r="G1179" i="12"/>
  <c r="G1180" i="12"/>
  <c r="G1181" i="12"/>
  <c r="G1182" i="12"/>
  <c r="G1183" i="12"/>
  <c r="G1184" i="12"/>
  <c r="G1185" i="12"/>
  <c r="G1186" i="12"/>
  <c r="G1187" i="12"/>
  <c r="G1188" i="12"/>
  <c r="G1189" i="12"/>
  <c r="G1190" i="12"/>
  <c r="G1191" i="12"/>
  <c r="G1192" i="12"/>
  <c r="G1193" i="12"/>
  <c r="G1194" i="12"/>
  <c r="G1195" i="12"/>
  <c r="G1196" i="12"/>
  <c r="G1197" i="12"/>
  <c r="G1198" i="12"/>
  <c r="G1199" i="12"/>
  <c r="G1200" i="12"/>
  <c r="G1201" i="12"/>
  <c r="G1202" i="12"/>
  <c r="G1203" i="12"/>
  <c r="G1204" i="12"/>
  <c r="G1205" i="12"/>
  <c r="G1206" i="12"/>
  <c r="G1207" i="12"/>
  <c r="G1208" i="12"/>
  <c r="G1209" i="12"/>
  <c r="G1210" i="12"/>
  <c r="G1211" i="12"/>
  <c r="G1212" i="12"/>
  <c r="G1213" i="12"/>
  <c r="G1214" i="12"/>
  <c r="G1215" i="12"/>
  <c r="G1216" i="12"/>
  <c r="G1217" i="12"/>
  <c r="G1218" i="12"/>
  <c r="G1219" i="12"/>
  <c r="G1220" i="12"/>
  <c r="G1221" i="12"/>
  <c r="G1222" i="12"/>
  <c r="G1223" i="12"/>
  <c r="G1224" i="12"/>
  <c r="G1225" i="12"/>
  <c r="G1226" i="12"/>
  <c r="G1227" i="12"/>
  <c r="G1228" i="12"/>
  <c r="G1229" i="12"/>
  <c r="G1230" i="12"/>
  <c r="G1231" i="12"/>
  <c r="G1232" i="12"/>
  <c r="G1233" i="12"/>
  <c r="G1234" i="12"/>
  <c r="G1235" i="12"/>
  <c r="G1236" i="12"/>
  <c r="G1237" i="12"/>
  <c r="G1238" i="12"/>
  <c r="G1239" i="12"/>
  <c r="G1240" i="12"/>
  <c r="G1241" i="12"/>
  <c r="G1242" i="12"/>
  <c r="G1243" i="12"/>
  <c r="G1244" i="12"/>
  <c r="G1245" i="12"/>
  <c r="G1246" i="12"/>
  <c r="G1247" i="12"/>
  <c r="G1248" i="12"/>
  <c r="G1249" i="12"/>
  <c r="G1250" i="12"/>
  <c r="G1251" i="12"/>
  <c r="G1252" i="12"/>
  <c r="G1253" i="12"/>
  <c r="G1254" i="12"/>
  <c r="G1255" i="12"/>
  <c r="G1256" i="12"/>
  <c r="G1257" i="12"/>
  <c r="G1258" i="12"/>
  <c r="G1259" i="12"/>
  <c r="G1260" i="12"/>
  <c r="G1261" i="12"/>
  <c r="G8" i="12"/>
  <c r="D115" i="12"/>
  <c r="D116" i="12"/>
  <c r="D117" i="12"/>
  <c r="D118" i="12"/>
  <c r="D119" i="12"/>
  <c r="D120" i="12"/>
  <c r="D121" i="12"/>
  <c r="D122" i="12"/>
  <c r="D123" i="12"/>
  <c r="D124" i="12"/>
  <c r="D125" i="12"/>
  <c r="D126" i="12"/>
  <c r="D127" i="12"/>
  <c r="D128" i="12"/>
  <c r="D129" i="12"/>
  <c r="D130" i="12"/>
  <c r="D131" i="12"/>
  <c r="D132" i="12"/>
  <c r="D133" i="12"/>
  <c r="D134" i="12"/>
  <c r="D135" i="12"/>
  <c r="D136" i="12"/>
  <c r="D137" i="12"/>
  <c r="D138" i="12"/>
  <c r="D139" i="12"/>
  <c r="D140" i="12"/>
  <c r="D141" i="12"/>
  <c r="D142" i="12"/>
  <c r="D143" i="12"/>
  <c r="D144" i="12"/>
  <c r="D145" i="12"/>
  <c r="D146" i="12"/>
  <c r="D147" i="12"/>
  <c r="D148" i="12"/>
  <c r="D149" i="12"/>
  <c r="D150" i="12"/>
  <c r="D151" i="12"/>
  <c r="D152" i="12"/>
  <c r="D153" i="12"/>
  <c r="D154" i="12"/>
  <c r="D155" i="12"/>
  <c r="D156" i="12"/>
  <c r="D157" i="12"/>
  <c r="D158" i="12"/>
  <c r="D159" i="12"/>
  <c r="D160" i="12"/>
  <c r="D161" i="12"/>
  <c r="D162" i="12"/>
  <c r="D163" i="12"/>
  <c r="D164" i="12"/>
  <c r="D165" i="12"/>
  <c r="D166" i="12"/>
  <c r="D167" i="12"/>
  <c r="D168" i="12"/>
  <c r="D169" i="12"/>
  <c r="D170" i="12"/>
  <c r="D171" i="12"/>
  <c r="D172" i="12"/>
  <c r="D173" i="12"/>
  <c r="D174" i="12"/>
  <c r="D175" i="12"/>
  <c r="D176" i="12"/>
  <c r="D177" i="12"/>
  <c r="D178" i="12"/>
  <c r="D179" i="12"/>
  <c r="D180" i="12"/>
  <c r="D181" i="12"/>
  <c r="D182" i="12"/>
  <c r="D183" i="12"/>
  <c r="D184" i="12"/>
  <c r="D185" i="12"/>
  <c r="D186" i="12"/>
  <c r="D187" i="12"/>
  <c r="D188" i="12"/>
  <c r="D189" i="12"/>
  <c r="D190" i="12"/>
  <c r="D191" i="12"/>
  <c r="D192" i="12"/>
  <c r="D193" i="12"/>
  <c r="D194" i="12"/>
  <c r="D195" i="12"/>
  <c r="D196" i="12"/>
  <c r="D197" i="12"/>
  <c r="D198" i="12"/>
  <c r="D199" i="12"/>
  <c r="D200" i="12"/>
  <c r="D201" i="12"/>
  <c r="D202" i="12"/>
  <c r="D203" i="12"/>
  <c r="D204" i="12"/>
  <c r="D205" i="12"/>
  <c r="D206" i="12"/>
  <c r="D207" i="12"/>
  <c r="D208" i="12"/>
  <c r="D209" i="12"/>
  <c r="D210" i="12"/>
  <c r="D211" i="12"/>
  <c r="D212" i="12"/>
  <c r="D213" i="12"/>
  <c r="D214" i="12"/>
  <c r="D215" i="12"/>
  <c r="D216" i="12"/>
  <c r="D217" i="12"/>
  <c r="D218" i="12"/>
  <c r="D219" i="12"/>
  <c r="D220" i="12"/>
  <c r="D221" i="12"/>
  <c r="D222" i="12"/>
  <c r="D223" i="12"/>
  <c r="D224" i="12"/>
  <c r="D225" i="12"/>
  <c r="D226" i="12"/>
  <c r="D227" i="12"/>
  <c r="D228" i="12"/>
  <c r="D229" i="12"/>
  <c r="D230" i="12"/>
  <c r="D231" i="12"/>
  <c r="D232" i="12"/>
  <c r="D233" i="12"/>
  <c r="D234" i="12"/>
  <c r="D235" i="12"/>
  <c r="D236" i="12"/>
  <c r="D237" i="12"/>
  <c r="D238" i="12"/>
  <c r="D239" i="12"/>
  <c r="D240" i="12"/>
  <c r="D241" i="12"/>
  <c r="D242" i="12"/>
  <c r="D243" i="12"/>
  <c r="D244" i="12"/>
  <c r="D245" i="12"/>
  <c r="D246" i="12"/>
  <c r="D247" i="12"/>
  <c r="D248" i="12"/>
  <c r="D249" i="12"/>
  <c r="D250" i="12"/>
  <c r="D251" i="12"/>
  <c r="D252" i="12"/>
  <c r="D253" i="12"/>
  <c r="D254" i="12"/>
  <c r="D255" i="12"/>
  <c r="D256" i="12"/>
  <c r="D257" i="12"/>
  <c r="D258" i="12"/>
  <c r="D259" i="12"/>
  <c r="D260" i="12"/>
  <c r="D261" i="12"/>
  <c r="D262" i="12"/>
  <c r="D263" i="12"/>
  <c r="D264" i="12"/>
  <c r="D265" i="12"/>
  <c r="D266" i="12"/>
  <c r="D267" i="12"/>
  <c r="D268" i="12"/>
  <c r="D269" i="12"/>
  <c r="D270" i="12"/>
  <c r="D271" i="12"/>
  <c r="D272" i="12"/>
  <c r="D273" i="12"/>
  <c r="D274" i="12"/>
  <c r="D275" i="12"/>
  <c r="D276" i="12"/>
  <c r="D277" i="12"/>
  <c r="D278" i="12"/>
  <c r="D279" i="12"/>
  <c r="D280" i="12"/>
  <c r="D281" i="12"/>
  <c r="D282" i="12"/>
  <c r="D283" i="12"/>
  <c r="D284" i="12"/>
  <c r="D285" i="12"/>
  <c r="D286" i="12"/>
  <c r="D287" i="12"/>
  <c r="D288" i="12"/>
  <c r="D289" i="12"/>
  <c r="D290" i="12"/>
  <c r="D291" i="12"/>
  <c r="D292" i="12"/>
  <c r="D293" i="12"/>
  <c r="D294" i="12"/>
  <c r="D295" i="12"/>
  <c r="D296" i="12"/>
  <c r="D297" i="12"/>
  <c r="D298" i="12"/>
  <c r="D299" i="12"/>
  <c r="D300" i="12"/>
  <c r="D301" i="12"/>
  <c r="D302" i="12"/>
  <c r="D303" i="12"/>
  <c r="D304" i="12"/>
  <c r="D305" i="12"/>
  <c r="D306" i="12"/>
  <c r="D307" i="12"/>
  <c r="D308" i="12"/>
  <c r="D309" i="12"/>
  <c r="D310" i="12"/>
  <c r="D311" i="12"/>
  <c r="D312" i="12"/>
  <c r="D313" i="12"/>
  <c r="D314" i="12"/>
  <c r="D315" i="12"/>
  <c r="D316" i="12"/>
  <c r="D317" i="12"/>
  <c r="D318" i="12"/>
  <c r="D319" i="12"/>
  <c r="D320" i="12"/>
  <c r="D321" i="12"/>
  <c r="D322" i="12"/>
  <c r="D323" i="12"/>
  <c r="D324" i="12"/>
  <c r="D325" i="12"/>
  <c r="D326" i="12"/>
  <c r="D327" i="12"/>
  <c r="D328" i="12"/>
  <c r="D329" i="12"/>
  <c r="D330" i="12"/>
  <c r="D331" i="12"/>
  <c r="D332" i="12"/>
  <c r="D333" i="12"/>
  <c r="D334" i="12"/>
  <c r="D335" i="12"/>
  <c r="D336" i="12"/>
  <c r="D337" i="12"/>
  <c r="D338" i="12"/>
  <c r="D339" i="12"/>
  <c r="D340" i="12"/>
  <c r="D341" i="12"/>
  <c r="D342" i="12"/>
  <c r="D343" i="12"/>
  <c r="D344" i="12"/>
  <c r="D345" i="12"/>
  <c r="D346" i="12"/>
  <c r="D347" i="12"/>
  <c r="D348" i="12"/>
  <c r="D349" i="12"/>
  <c r="D350" i="12"/>
  <c r="D351" i="12"/>
  <c r="D352" i="12"/>
  <c r="D353" i="12"/>
  <c r="D354" i="12"/>
  <c r="D355" i="12"/>
  <c r="D356" i="12"/>
  <c r="D357" i="12"/>
  <c r="D358" i="12"/>
  <c r="D359" i="12"/>
  <c r="D360" i="12"/>
  <c r="D361" i="12"/>
  <c r="D362" i="12"/>
  <c r="D363" i="12"/>
  <c r="D364" i="12"/>
  <c r="D365" i="12"/>
  <c r="D366" i="12"/>
  <c r="D367" i="12"/>
  <c r="D368" i="12"/>
  <c r="D369" i="12"/>
  <c r="D370" i="12"/>
  <c r="D371" i="12"/>
  <c r="D372" i="12"/>
  <c r="D373" i="12"/>
  <c r="D374" i="12"/>
  <c r="D375" i="12"/>
  <c r="D376" i="12"/>
  <c r="D377" i="12"/>
  <c r="D378" i="12"/>
  <c r="D379" i="12"/>
  <c r="D380" i="12"/>
  <c r="D381" i="12"/>
  <c r="D382" i="12"/>
  <c r="D383" i="12"/>
  <c r="D384" i="12"/>
  <c r="D385" i="12"/>
  <c r="D386" i="12"/>
  <c r="D387" i="12"/>
  <c r="D388" i="12"/>
  <c r="D389" i="12"/>
  <c r="D390" i="12"/>
  <c r="D391" i="12"/>
  <c r="D392" i="12"/>
  <c r="D393" i="12"/>
  <c r="D394" i="12"/>
  <c r="D395" i="12"/>
  <c r="D396" i="12"/>
  <c r="D397" i="12"/>
  <c r="D398" i="12"/>
  <c r="D399" i="12"/>
  <c r="D400" i="12"/>
  <c r="D401" i="12"/>
  <c r="D402" i="12"/>
  <c r="D403" i="12"/>
  <c r="D404" i="12"/>
  <c r="D405" i="12"/>
  <c r="D406" i="12"/>
  <c r="D407" i="12"/>
  <c r="D408" i="12"/>
  <c r="D409" i="12"/>
  <c r="D410" i="12"/>
  <c r="D411" i="12"/>
  <c r="D412" i="12"/>
  <c r="D413" i="12"/>
  <c r="D414" i="12"/>
  <c r="D415" i="12"/>
  <c r="D416" i="12"/>
  <c r="D417" i="12"/>
  <c r="D418" i="12"/>
  <c r="D419" i="12"/>
  <c r="D420" i="12"/>
  <c r="D421" i="12"/>
  <c r="D422" i="12"/>
  <c r="D423" i="12"/>
  <c r="D424" i="12"/>
  <c r="D425" i="12"/>
  <c r="D426" i="12"/>
  <c r="D427" i="12"/>
  <c r="D428" i="12"/>
  <c r="D429" i="12"/>
  <c r="D430" i="12"/>
  <c r="D431" i="12"/>
  <c r="D432" i="12"/>
  <c r="D433" i="12"/>
  <c r="D434" i="12"/>
  <c r="D435" i="12"/>
  <c r="D436" i="12"/>
  <c r="D437" i="12"/>
  <c r="D438" i="12"/>
  <c r="D439" i="12"/>
  <c r="D440" i="12"/>
  <c r="D441" i="12"/>
  <c r="D442" i="12"/>
  <c r="D443" i="12"/>
  <c r="D444" i="12"/>
  <c r="D445" i="12"/>
  <c r="D446" i="12"/>
  <c r="D447" i="12"/>
  <c r="D448" i="12"/>
  <c r="D449" i="12"/>
  <c r="D450" i="12"/>
  <c r="D451" i="12"/>
  <c r="D452" i="12"/>
  <c r="D453" i="12"/>
  <c r="D454" i="12"/>
  <c r="D455" i="12"/>
  <c r="D456" i="12"/>
  <c r="D457" i="12"/>
  <c r="D458" i="12"/>
  <c r="D459" i="12"/>
  <c r="D460" i="12"/>
  <c r="D461" i="12"/>
  <c r="D462" i="12"/>
  <c r="D463" i="12"/>
  <c r="D464" i="12"/>
  <c r="D465" i="12"/>
  <c r="D466" i="12"/>
  <c r="D467" i="12"/>
  <c r="D468" i="12"/>
  <c r="D469" i="12"/>
  <c r="D470" i="12"/>
  <c r="D471" i="12"/>
  <c r="D472" i="12"/>
  <c r="D473" i="12"/>
  <c r="D474" i="12"/>
  <c r="D475" i="12"/>
  <c r="D476" i="12"/>
  <c r="D477" i="12"/>
  <c r="D478" i="12"/>
  <c r="D479" i="12"/>
  <c r="D480" i="12"/>
  <c r="D481" i="12"/>
  <c r="D482" i="12"/>
  <c r="D483" i="12"/>
  <c r="D484" i="12"/>
  <c r="D485" i="12"/>
  <c r="D486" i="12"/>
  <c r="D487" i="12"/>
  <c r="D488" i="12"/>
  <c r="D489" i="12"/>
  <c r="D490" i="12"/>
  <c r="D491" i="12"/>
  <c r="D492" i="12"/>
  <c r="D493" i="12"/>
  <c r="D494" i="12"/>
  <c r="D495" i="12"/>
  <c r="D496" i="12"/>
  <c r="D497" i="12"/>
  <c r="D498" i="12"/>
  <c r="D499" i="12"/>
  <c r="D500" i="12"/>
  <c r="D501" i="12"/>
  <c r="D502" i="12"/>
  <c r="D503" i="12"/>
  <c r="D504" i="12"/>
  <c r="D505" i="12"/>
  <c r="D506" i="12"/>
  <c r="D507" i="12"/>
  <c r="D508" i="12"/>
  <c r="D509" i="12"/>
  <c r="D510" i="12"/>
  <c r="D511" i="12"/>
  <c r="D512" i="12"/>
  <c r="D513" i="12"/>
  <c r="D514" i="12"/>
  <c r="D515" i="12"/>
  <c r="D516" i="12"/>
  <c r="D517" i="12"/>
  <c r="D518" i="12"/>
  <c r="D519" i="12"/>
  <c r="D520" i="12"/>
  <c r="D521" i="12"/>
  <c r="D522" i="12"/>
  <c r="D523" i="12"/>
  <c r="D524" i="12"/>
  <c r="D525" i="12"/>
  <c r="D526" i="12"/>
  <c r="D527" i="12"/>
  <c r="D528" i="12"/>
  <c r="D529" i="12"/>
  <c r="D530" i="12"/>
  <c r="D531" i="12"/>
  <c r="D532" i="12"/>
  <c r="D533" i="12"/>
  <c r="D534" i="12"/>
  <c r="D535" i="12"/>
  <c r="D536" i="12"/>
  <c r="D537" i="12"/>
  <c r="D538" i="12"/>
  <c r="D539" i="12"/>
  <c r="D540" i="12"/>
  <c r="D541" i="12"/>
  <c r="D542" i="12"/>
  <c r="D543" i="12"/>
  <c r="D544" i="12"/>
  <c r="D545" i="12"/>
  <c r="D546" i="12"/>
  <c r="D547" i="12"/>
  <c r="D548" i="12"/>
  <c r="D549" i="12"/>
  <c r="D550" i="12"/>
  <c r="D551" i="12"/>
  <c r="D552" i="12"/>
  <c r="D553" i="12"/>
  <c r="D554" i="12"/>
  <c r="D555" i="12"/>
  <c r="D556" i="12"/>
  <c r="D557" i="12"/>
  <c r="D558" i="12"/>
  <c r="D559" i="12"/>
  <c r="D560" i="12"/>
  <c r="D561" i="12"/>
  <c r="D562" i="12"/>
  <c r="D563" i="12"/>
  <c r="D564" i="12"/>
  <c r="D565" i="12"/>
  <c r="D566" i="12"/>
  <c r="D567" i="12"/>
  <c r="D568" i="12"/>
  <c r="D569" i="12"/>
  <c r="D570" i="12"/>
  <c r="D571" i="12"/>
  <c r="D572" i="12"/>
  <c r="D573" i="12"/>
  <c r="D574" i="12"/>
  <c r="D575" i="12"/>
  <c r="D576" i="12"/>
  <c r="D577" i="12"/>
  <c r="D578" i="12"/>
  <c r="D579" i="12"/>
  <c r="D580" i="12"/>
  <c r="D581" i="12"/>
  <c r="D582" i="12"/>
  <c r="D583" i="12"/>
  <c r="D584" i="12"/>
  <c r="D585" i="12"/>
  <c r="D586" i="12"/>
  <c r="D587" i="12"/>
  <c r="D588" i="12"/>
  <c r="D589" i="12"/>
  <c r="D590" i="12"/>
  <c r="D591" i="12"/>
  <c r="D592" i="12"/>
  <c r="D593" i="12"/>
  <c r="D594" i="12"/>
  <c r="D595" i="12"/>
  <c r="D596" i="12"/>
  <c r="D597" i="12"/>
  <c r="D598" i="12"/>
  <c r="D599" i="12"/>
  <c r="D600" i="12"/>
  <c r="D601" i="12"/>
  <c r="D602" i="12"/>
  <c r="D603" i="12"/>
  <c r="D604" i="12"/>
  <c r="D605" i="12"/>
  <c r="D606" i="12"/>
  <c r="D607" i="12"/>
  <c r="D608" i="12"/>
  <c r="D609" i="12"/>
  <c r="D610" i="12"/>
  <c r="D611" i="12"/>
  <c r="D612" i="12"/>
  <c r="D613" i="12"/>
  <c r="D614" i="12"/>
  <c r="D615" i="12"/>
  <c r="D616" i="12"/>
  <c r="D617" i="12"/>
  <c r="D618" i="12"/>
  <c r="D619" i="12"/>
  <c r="D620" i="12"/>
  <c r="D621" i="12"/>
  <c r="D622" i="12"/>
  <c r="D623" i="12"/>
  <c r="D624" i="12"/>
  <c r="D625" i="12"/>
  <c r="D626" i="12"/>
  <c r="D627" i="12"/>
  <c r="D628" i="12"/>
  <c r="D629" i="12"/>
  <c r="D630" i="12"/>
  <c r="D631" i="12"/>
  <c r="D632" i="12"/>
  <c r="D633" i="12"/>
  <c r="D634" i="12"/>
  <c r="D635" i="12"/>
  <c r="D636" i="12"/>
  <c r="D637" i="12"/>
  <c r="D638" i="12"/>
  <c r="D639" i="12"/>
  <c r="D640" i="12"/>
  <c r="D641" i="12"/>
  <c r="D642" i="12"/>
  <c r="D643" i="12"/>
  <c r="D644" i="12"/>
  <c r="D645" i="12"/>
  <c r="D646" i="12"/>
  <c r="D647" i="12"/>
  <c r="D648" i="12"/>
  <c r="D649" i="12"/>
  <c r="D650" i="12"/>
  <c r="D651" i="12"/>
  <c r="D652" i="12"/>
  <c r="D653" i="12"/>
  <c r="D654" i="12"/>
  <c r="D655" i="12"/>
  <c r="D656" i="12"/>
  <c r="D657" i="12"/>
  <c r="D658" i="12"/>
  <c r="D659" i="12"/>
  <c r="D660" i="12"/>
  <c r="D661" i="12"/>
  <c r="D662" i="12"/>
  <c r="D663" i="12"/>
  <c r="D664" i="12"/>
  <c r="D665" i="12"/>
  <c r="D666" i="12"/>
  <c r="D667" i="12"/>
  <c r="D668" i="12"/>
  <c r="D669" i="12"/>
  <c r="D670" i="12"/>
  <c r="D671" i="12"/>
  <c r="D672" i="12"/>
  <c r="D673" i="12"/>
  <c r="D674" i="12"/>
  <c r="D675" i="12"/>
  <c r="D676" i="12"/>
  <c r="D677" i="12"/>
  <c r="D678" i="12"/>
  <c r="D679" i="12"/>
  <c r="D680" i="12"/>
  <c r="D681" i="12"/>
  <c r="D682" i="12"/>
  <c r="D683" i="12"/>
  <c r="D684" i="12"/>
  <c r="D685" i="12"/>
  <c r="D686" i="12"/>
  <c r="D687" i="12"/>
  <c r="D688" i="12"/>
  <c r="D689" i="12"/>
  <c r="D690" i="12"/>
  <c r="D691" i="12"/>
  <c r="D692" i="12"/>
  <c r="D693" i="12"/>
  <c r="D694" i="12"/>
  <c r="D695" i="12"/>
  <c r="D696" i="12"/>
  <c r="D697" i="12"/>
  <c r="D698" i="12"/>
  <c r="D699" i="12"/>
  <c r="D700" i="12"/>
  <c r="D701" i="12"/>
  <c r="D702" i="12"/>
  <c r="D703" i="12"/>
  <c r="D704" i="12"/>
  <c r="D705" i="12"/>
  <c r="D706" i="12"/>
  <c r="D707" i="12"/>
  <c r="D708" i="12"/>
  <c r="D709" i="12"/>
  <c r="D710" i="12"/>
  <c r="D711" i="12"/>
  <c r="D712" i="12"/>
  <c r="D713" i="12"/>
  <c r="D714" i="12"/>
  <c r="D715" i="12"/>
  <c r="D716" i="12"/>
  <c r="D717" i="12"/>
  <c r="D718" i="12"/>
  <c r="D719" i="12"/>
  <c r="D720" i="12"/>
  <c r="D721" i="12"/>
  <c r="D722" i="12"/>
  <c r="D723" i="12"/>
  <c r="D724" i="12"/>
  <c r="D725" i="12"/>
  <c r="D726" i="12"/>
  <c r="D727" i="12"/>
  <c r="D728" i="12"/>
  <c r="D729" i="12"/>
  <c r="D730" i="12"/>
  <c r="D731" i="12"/>
  <c r="D732" i="12"/>
  <c r="D733" i="12"/>
  <c r="D734" i="12"/>
  <c r="D735" i="12"/>
  <c r="D736" i="12"/>
  <c r="D737" i="12"/>
  <c r="D738" i="12"/>
  <c r="D739" i="12"/>
  <c r="D740" i="12"/>
  <c r="D741" i="12"/>
  <c r="D742" i="12"/>
  <c r="D743" i="12"/>
  <c r="D744" i="12"/>
  <c r="D745" i="12"/>
  <c r="D746" i="12"/>
  <c r="D747" i="12"/>
  <c r="D748" i="12"/>
  <c r="D749" i="12"/>
  <c r="D750" i="12"/>
  <c r="D751" i="12"/>
  <c r="D752" i="12"/>
  <c r="D753" i="12"/>
  <c r="D754" i="12"/>
  <c r="D755" i="12"/>
  <c r="D756" i="12"/>
  <c r="D757" i="12"/>
  <c r="D758" i="12"/>
  <c r="D759" i="12"/>
  <c r="D760" i="12"/>
  <c r="D761" i="12"/>
  <c r="D762" i="12"/>
  <c r="D763" i="12"/>
  <c r="D764" i="12"/>
  <c r="D765" i="12"/>
  <c r="D766" i="12"/>
  <c r="D767" i="12"/>
  <c r="D768" i="12"/>
  <c r="D769" i="12"/>
  <c r="D770" i="12"/>
  <c r="D771" i="12"/>
  <c r="D772" i="12"/>
  <c r="D773" i="12"/>
  <c r="D774" i="12"/>
  <c r="D775" i="12"/>
  <c r="D776" i="12"/>
  <c r="D777" i="12"/>
  <c r="D778" i="12"/>
  <c r="D779" i="12"/>
  <c r="D780" i="12"/>
  <c r="D781" i="12"/>
  <c r="D782" i="12"/>
  <c r="D783" i="12"/>
  <c r="D784" i="12"/>
  <c r="D785" i="12"/>
  <c r="D786" i="12"/>
  <c r="D787" i="12"/>
  <c r="D788" i="12"/>
  <c r="D789" i="12"/>
  <c r="D790" i="12"/>
  <c r="D791" i="12"/>
  <c r="D792" i="12"/>
  <c r="D793" i="12"/>
  <c r="D794" i="12"/>
  <c r="D795" i="12"/>
  <c r="D796" i="12"/>
  <c r="D797" i="12"/>
  <c r="D798" i="12"/>
  <c r="D799" i="12"/>
  <c r="D800" i="12"/>
  <c r="D801" i="12"/>
  <c r="D802" i="12"/>
  <c r="D803" i="12"/>
  <c r="D804" i="12"/>
  <c r="D805" i="12"/>
  <c r="D806" i="12"/>
  <c r="D807" i="12"/>
  <c r="D808" i="12"/>
  <c r="D809" i="12"/>
  <c r="D810" i="12"/>
  <c r="D811" i="12"/>
  <c r="D812" i="12"/>
  <c r="D813" i="12"/>
  <c r="D814" i="12"/>
  <c r="D815" i="12"/>
  <c r="D816" i="12"/>
  <c r="D817" i="12"/>
  <c r="D818" i="12"/>
  <c r="D819" i="12"/>
  <c r="D820" i="12"/>
  <c r="D821" i="12"/>
  <c r="D822" i="12"/>
  <c r="D823" i="12"/>
  <c r="D824" i="12"/>
  <c r="D825" i="12"/>
  <c r="D826" i="12"/>
  <c r="D827" i="12"/>
  <c r="D828" i="12"/>
  <c r="D829" i="12"/>
  <c r="D830" i="12"/>
  <c r="D831" i="12"/>
  <c r="D832" i="12"/>
  <c r="D833" i="12"/>
  <c r="D834" i="12"/>
  <c r="D835" i="12"/>
  <c r="D836" i="12"/>
  <c r="D837" i="12"/>
  <c r="D838" i="12"/>
  <c r="D839" i="12"/>
  <c r="D840" i="12"/>
  <c r="D841" i="12"/>
  <c r="D842" i="12"/>
  <c r="D843" i="12"/>
  <c r="D844" i="12"/>
  <c r="D845" i="12"/>
  <c r="D846" i="12"/>
  <c r="D847" i="12"/>
  <c r="D848" i="12"/>
  <c r="D849" i="12"/>
  <c r="D850" i="12"/>
  <c r="D851" i="12"/>
  <c r="D852" i="12"/>
  <c r="D853" i="12"/>
  <c r="D854" i="12"/>
  <c r="D855" i="12"/>
  <c r="D856" i="12"/>
  <c r="D857" i="12"/>
  <c r="D858" i="12"/>
  <c r="D859" i="12"/>
  <c r="D860" i="12"/>
  <c r="D861" i="12"/>
  <c r="D862" i="12"/>
  <c r="D863" i="12"/>
  <c r="D864" i="12"/>
  <c r="D865" i="12"/>
  <c r="D866" i="12"/>
  <c r="D867" i="12"/>
  <c r="D868" i="12"/>
  <c r="D869" i="12"/>
  <c r="D870" i="12"/>
  <c r="D871" i="12"/>
  <c r="D872" i="12"/>
  <c r="D873" i="12"/>
  <c r="D874" i="12"/>
  <c r="D875" i="12"/>
  <c r="D876" i="12"/>
  <c r="D877" i="12"/>
  <c r="D878" i="12"/>
  <c r="D879" i="12"/>
  <c r="D880" i="12"/>
  <c r="D881" i="12"/>
  <c r="D882" i="12"/>
  <c r="D883" i="12"/>
  <c r="D884" i="12"/>
  <c r="D885" i="12"/>
  <c r="D886" i="12"/>
  <c r="D887" i="12"/>
  <c r="D888" i="12"/>
  <c r="D889" i="12"/>
  <c r="D890" i="12"/>
  <c r="D891" i="12"/>
  <c r="D892" i="12"/>
  <c r="D893" i="12"/>
  <c r="D894" i="12"/>
  <c r="D895" i="12"/>
  <c r="D896" i="12"/>
  <c r="D897" i="12"/>
  <c r="D898" i="12"/>
  <c r="D899" i="12"/>
  <c r="D900" i="12"/>
  <c r="D901" i="12"/>
  <c r="D902" i="12"/>
  <c r="D903" i="12"/>
  <c r="D904" i="12"/>
  <c r="D905" i="12"/>
  <c r="D906" i="12"/>
  <c r="D907" i="12"/>
  <c r="D908" i="12"/>
  <c r="D909" i="12"/>
  <c r="D910" i="12"/>
  <c r="D911" i="12"/>
  <c r="D912" i="12"/>
  <c r="D913" i="12"/>
  <c r="D914" i="12"/>
  <c r="D915" i="12"/>
  <c r="D916" i="12"/>
  <c r="D917" i="12"/>
  <c r="D918" i="12"/>
  <c r="D919" i="12"/>
  <c r="D920" i="12"/>
  <c r="D921" i="12"/>
  <c r="D922" i="12"/>
  <c r="D923" i="12"/>
  <c r="D924" i="12"/>
  <c r="D925" i="12"/>
  <c r="D926" i="12"/>
  <c r="D927" i="12"/>
  <c r="D928" i="12"/>
  <c r="D929" i="12"/>
  <c r="D930" i="12"/>
  <c r="D931" i="12"/>
  <c r="D932" i="12"/>
  <c r="D933" i="12"/>
  <c r="D934" i="12"/>
  <c r="D935" i="12"/>
  <c r="D936" i="12"/>
  <c r="D937" i="12"/>
  <c r="D938" i="12"/>
  <c r="D939" i="12"/>
  <c r="D940" i="12"/>
  <c r="D941" i="12"/>
  <c r="D942" i="12"/>
  <c r="D943" i="12"/>
  <c r="D944" i="12"/>
  <c r="D945" i="12"/>
  <c r="D946" i="12"/>
  <c r="D947" i="12"/>
  <c r="D948" i="12"/>
  <c r="D949" i="12"/>
  <c r="D950" i="12"/>
  <c r="D951" i="12"/>
  <c r="D952" i="12"/>
  <c r="D953" i="12"/>
  <c r="D954" i="12"/>
  <c r="D955" i="12"/>
  <c r="D956" i="12"/>
  <c r="D957" i="12"/>
  <c r="D958" i="12"/>
  <c r="D959" i="12"/>
  <c r="D960" i="12"/>
  <c r="D961" i="12"/>
  <c r="D962" i="12"/>
  <c r="D963" i="12"/>
  <c r="D964" i="12"/>
  <c r="D965" i="12"/>
  <c r="D966" i="12"/>
  <c r="D967" i="12"/>
  <c r="D968" i="12"/>
  <c r="D969" i="12"/>
  <c r="D970" i="12"/>
  <c r="D971" i="12"/>
  <c r="D972" i="12"/>
  <c r="D973" i="12"/>
  <c r="D974" i="12"/>
  <c r="D975" i="12"/>
  <c r="D976" i="12"/>
  <c r="D977" i="12"/>
  <c r="D978" i="12"/>
  <c r="D979" i="12"/>
  <c r="D980" i="12"/>
  <c r="D981" i="12"/>
  <c r="D982" i="12"/>
  <c r="D983" i="12"/>
  <c r="D984" i="12"/>
  <c r="D985" i="12"/>
  <c r="D986" i="12"/>
  <c r="D987" i="12"/>
  <c r="D988" i="12"/>
  <c r="D989" i="12"/>
  <c r="D990" i="12"/>
  <c r="D991" i="12"/>
  <c r="D992" i="12"/>
  <c r="D993" i="12"/>
  <c r="D994" i="12"/>
  <c r="D995" i="12"/>
  <c r="D996" i="12"/>
  <c r="D997" i="12"/>
  <c r="D998" i="12"/>
  <c r="D999" i="12"/>
  <c r="D1000" i="12"/>
  <c r="D1001" i="12"/>
  <c r="D1002" i="12"/>
  <c r="D1003" i="12"/>
  <c r="D1004" i="12"/>
  <c r="D1005" i="12"/>
  <c r="D1006" i="12"/>
  <c r="D1007" i="12"/>
  <c r="D1008" i="12"/>
  <c r="D1009" i="12"/>
  <c r="D1010" i="12"/>
  <c r="D1011" i="12"/>
  <c r="D1012" i="12"/>
  <c r="D1013" i="12"/>
  <c r="D1014" i="12"/>
  <c r="D1015" i="12"/>
  <c r="D1016" i="12"/>
  <c r="D1017" i="12"/>
  <c r="D1018" i="12"/>
  <c r="D1019" i="12"/>
  <c r="D1020" i="12"/>
  <c r="D1021" i="12"/>
  <c r="D1022" i="12"/>
  <c r="D1023" i="12"/>
  <c r="D1024" i="12"/>
  <c r="D1025" i="12"/>
  <c r="D1026" i="12"/>
  <c r="D1027" i="12"/>
  <c r="D1028" i="12"/>
  <c r="D1029" i="12"/>
  <c r="D1030" i="12"/>
  <c r="D1031" i="12"/>
  <c r="D1032" i="12"/>
  <c r="D1033" i="12"/>
  <c r="D1034" i="12"/>
  <c r="D1035" i="12"/>
  <c r="D1036" i="12"/>
  <c r="D1037" i="12"/>
  <c r="D1038" i="12"/>
  <c r="D1039" i="12"/>
  <c r="D1040" i="12"/>
  <c r="D1041" i="12"/>
  <c r="D1042" i="12"/>
  <c r="D1043" i="12"/>
  <c r="D1044" i="12"/>
  <c r="D1045" i="12"/>
  <c r="D1046" i="12"/>
  <c r="D1047" i="12"/>
  <c r="D1048" i="12"/>
  <c r="D1049" i="12"/>
  <c r="D1050" i="12"/>
  <c r="D1051" i="12"/>
  <c r="D1052" i="12"/>
  <c r="D1053" i="12"/>
  <c r="D1054" i="12"/>
  <c r="D1055" i="12"/>
  <c r="D1056" i="12"/>
  <c r="D1057" i="12"/>
  <c r="D1058" i="12"/>
  <c r="D1059" i="12"/>
  <c r="D1060" i="12"/>
  <c r="D1061" i="12"/>
  <c r="D1062" i="12"/>
  <c r="D1063" i="12"/>
  <c r="D1064" i="12"/>
  <c r="D1065" i="12"/>
  <c r="D1066" i="12"/>
  <c r="D1067" i="12"/>
  <c r="D1068" i="12"/>
  <c r="D1069" i="12"/>
  <c r="D1070" i="12"/>
  <c r="D1071" i="12"/>
  <c r="D1072" i="12"/>
  <c r="D1073" i="12"/>
  <c r="D1074" i="12"/>
  <c r="D1075" i="12"/>
  <c r="D1076" i="12"/>
  <c r="D1077" i="12"/>
  <c r="D1078" i="12"/>
  <c r="D1079" i="12"/>
  <c r="D1080" i="12"/>
  <c r="D1081" i="12"/>
  <c r="D1082" i="12"/>
  <c r="D1083" i="12"/>
  <c r="D1084" i="12"/>
  <c r="D1085" i="12"/>
  <c r="D1086" i="12"/>
  <c r="D1087" i="12"/>
  <c r="D1088" i="12"/>
  <c r="D1089" i="12"/>
  <c r="D1090" i="12"/>
  <c r="D1091" i="12"/>
  <c r="D1092" i="12"/>
  <c r="D1093" i="12"/>
  <c r="D1094" i="12"/>
  <c r="D1095" i="12"/>
  <c r="D1096" i="12"/>
  <c r="D1097" i="12"/>
  <c r="D1098" i="12"/>
  <c r="D1099" i="12"/>
  <c r="D1100" i="12"/>
  <c r="D1101" i="12"/>
  <c r="D1102" i="12"/>
  <c r="D1103" i="12"/>
  <c r="D1104" i="12"/>
  <c r="D1105" i="12"/>
  <c r="D1106" i="12"/>
  <c r="D1107" i="12"/>
  <c r="D1108" i="12"/>
  <c r="D1109" i="12"/>
  <c r="D1110" i="12"/>
  <c r="D1111" i="12"/>
  <c r="D1112" i="12"/>
  <c r="D1113" i="12"/>
  <c r="D1114" i="12"/>
  <c r="D1115" i="12"/>
  <c r="D1116" i="12"/>
  <c r="D1117" i="12"/>
  <c r="D1118" i="12"/>
  <c r="D1119" i="12"/>
  <c r="D1120" i="12"/>
  <c r="D1121" i="12"/>
  <c r="D1122" i="12"/>
  <c r="D1123" i="12"/>
  <c r="D1124" i="12"/>
  <c r="D1125" i="12"/>
  <c r="D1126" i="12"/>
  <c r="D1127" i="12"/>
  <c r="D1128" i="12"/>
  <c r="D1129" i="12"/>
  <c r="D1130" i="12"/>
  <c r="D1131" i="12"/>
  <c r="D1132" i="12"/>
  <c r="D1133" i="12"/>
  <c r="D1134" i="12"/>
  <c r="D1135" i="12"/>
  <c r="D1136" i="12"/>
  <c r="D1137" i="12"/>
  <c r="D1138" i="12"/>
  <c r="D1139" i="12"/>
  <c r="D1140" i="12"/>
  <c r="D1141" i="12"/>
  <c r="D1142" i="12"/>
  <c r="D1143" i="12"/>
  <c r="D1144" i="12"/>
  <c r="D1145" i="12"/>
  <c r="D1146" i="12"/>
  <c r="D1147" i="12"/>
  <c r="D1148" i="12"/>
  <c r="D1149" i="12"/>
  <c r="D1150" i="12"/>
  <c r="D1151" i="12"/>
  <c r="D1152" i="12"/>
  <c r="D1153" i="12"/>
  <c r="D1154" i="12"/>
  <c r="D1155" i="12"/>
  <c r="D1156" i="12"/>
  <c r="D1157" i="12"/>
  <c r="D1158" i="12"/>
  <c r="D1159" i="12"/>
  <c r="D1160" i="12"/>
  <c r="D1161" i="12"/>
  <c r="D1162" i="12"/>
  <c r="D1163" i="12"/>
  <c r="D1164" i="12"/>
  <c r="D1165" i="12"/>
  <c r="D1166" i="12"/>
  <c r="D1167" i="12"/>
  <c r="D1168" i="12"/>
  <c r="D1169" i="12"/>
  <c r="D1170" i="12"/>
  <c r="D1171" i="12"/>
  <c r="D1172" i="12"/>
  <c r="D1173" i="12"/>
  <c r="D1174" i="12"/>
  <c r="D1175" i="12"/>
  <c r="D1176" i="12"/>
  <c r="D1177" i="12"/>
  <c r="D1178" i="12"/>
  <c r="D1179" i="12"/>
  <c r="D1180" i="12"/>
  <c r="D1181" i="12"/>
  <c r="D1182" i="12"/>
  <c r="D1183" i="12"/>
  <c r="D1184" i="12"/>
  <c r="D1185" i="12"/>
  <c r="D1186" i="12"/>
  <c r="D1187" i="12"/>
  <c r="D1188" i="12"/>
  <c r="D1189" i="12"/>
  <c r="D1190" i="12"/>
  <c r="D1191" i="12"/>
  <c r="D1192" i="12"/>
  <c r="D1193" i="12"/>
  <c r="D1194" i="12"/>
  <c r="D1195" i="12"/>
  <c r="D1196" i="12"/>
  <c r="D1197" i="12"/>
  <c r="D1198" i="12"/>
  <c r="D1199" i="12"/>
  <c r="D1200" i="12"/>
  <c r="D1201" i="12"/>
  <c r="D1202" i="12"/>
  <c r="D1203" i="12"/>
  <c r="D1204" i="12"/>
  <c r="D1205" i="12"/>
  <c r="D1206" i="12"/>
  <c r="D1207" i="12"/>
  <c r="D1208" i="12"/>
  <c r="D1209" i="12"/>
  <c r="D1210" i="12"/>
  <c r="D1211" i="12"/>
  <c r="D1212" i="12"/>
  <c r="D1213" i="12"/>
  <c r="D1214" i="12"/>
  <c r="D1215" i="12"/>
  <c r="D1216" i="12"/>
  <c r="D1217" i="12"/>
  <c r="D1218" i="12"/>
  <c r="D1219" i="12"/>
  <c r="D1220" i="12"/>
  <c r="D1221" i="12"/>
  <c r="D1222" i="12"/>
  <c r="D1223" i="12"/>
  <c r="D1224" i="12"/>
  <c r="D1225" i="12"/>
  <c r="D1226" i="12"/>
  <c r="D1227" i="12"/>
  <c r="D1228" i="12"/>
  <c r="D1229" i="12"/>
  <c r="D1230" i="12"/>
  <c r="D1231" i="12"/>
  <c r="D1232" i="12"/>
  <c r="D1233" i="12"/>
  <c r="D1234" i="12"/>
  <c r="D1235" i="12"/>
  <c r="D1236" i="12"/>
  <c r="D1237" i="12"/>
  <c r="D1238" i="12"/>
  <c r="D1239" i="12"/>
  <c r="D1240" i="12"/>
  <c r="D1241" i="12"/>
  <c r="D1242" i="12"/>
  <c r="D1243" i="12"/>
  <c r="D1244" i="12"/>
  <c r="D1245" i="12"/>
  <c r="D1246" i="12"/>
  <c r="D1247" i="12"/>
  <c r="D1248" i="12"/>
  <c r="D1249" i="12"/>
  <c r="D1250" i="12"/>
  <c r="D1251" i="12"/>
  <c r="D1252" i="12"/>
  <c r="D1253" i="12"/>
  <c r="D1254" i="12"/>
  <c r="D1255" i="12"/>
  <c r="D1256" i="12"/>
  <c r="D1257" i="12"/>
  <c r="D1258" i="12"/>
  <c r="D1259" i="12"/>
  <c r="D1260" i="12"/>
  <c r="D1261" i="12"/>
  <c r="D9" i="12"/>
  <c r="D10" i="12"/>
  <c r="D11" i="12"/>
  <c r="D12" i="12"/>
  <c r="D13" i="12"/>
  <c r="D14" i="12"/>
  <c r="D15" i="12"/>
  <c r="D16" i="12"/>
  <c r="D17" i="12"/>
  <c r="D18" i="12"/>
  <c r="D19" i="12"/>
  <c r="D20" i="12"/>
  <c r="D21" i="12"/>
  <c r="D22" i="12"/>
  <c r="D23" i="12"/>
  <c r="D24" i="12"/>
  <c r="D25" i="12"/>
  <c r="D26" i="12"/>
  <c r="D27" i="12"/>
  <c r="D28" i="12"/>
  <c r="D29" i="12"/>
  <c r="D30" i="12"/>
  <c r="D31" i="12"/>
  <c r="D32" i="12"/>
  <c r="D33" i="12"/>
  <c r="D34" i="12"/>
  <c r="D35" i="12"/>
  <c r="D36" i="12"/>
  <c r="D37" i="12"/>
  <c r="D38" i="12"/>
  <c r="D39" i="12"/>
  <c r="D40" i="12"/>
  <c r="D41" i="12"/>
  <c r="D42" i="12"/>
  <c r="D43" i="12"/>
  <c r="D44" i="12"/>
  <c r="D45" i="12"/>
  <c r="D46" i="12"/>
  <c r="D47" i="12"/>
  <c r="D48" i="12"/>
  <c r="D49" i="12"/>
  <c r="D50" i="12"/>
  <c r="D51" i="12"/>
  <c r="D52" i="12"/>
  <c r="D53" i="12"/>
  <c r="D54" i="12"/>
  <c r="D55" i="12"/>
  <c r="D56" i="12"/>
  <c r="D57" i="12"/>
  <c r="D58" i="12"/>
  <c r="D59" i="12"/>
  <c r="D60" i="12"/>
  <c r="D61" i="12"/>
  <c r="D62" i="12"/>
  <c r="D63" i="12"/>
  <c r="D64" i="12"/>
  <c r="D65" i="12"/>
  <c r="D66" i="12"/>
  <c r="D67" i="12"/>
  <c r="D68" i="12"/>
  <c r="D69" i="12"/>
  <c r="D70" i="12"/>
  <c r="D71" i="12"/>
  <c r="D72" i="12"/>
  <c r="D73" i="12"/>
  <c r="D74" i="12"/>
  <c r="D75" i="12"/>
  <c r="D76" i="12"/>
  <c r="D77" i="12"/>
  <c r="D78" i="12"/>
  <c r="D79" i="12"/>
  <c r="D80" i="12"/>
  <c r="D81" i="12"/>
  <c r="D82" i="12"/>
  <c r="D83" i="12"/>
  <c r="D84" i="12"/>
  <c r="D85" i="12"/>
  <c r="D86" i="12"/>
  <c r="D87" i="12"/>
  <c r="D88" i="12"/>
  <c r="D89" i="12"/>
  <c r="D90" i="12"/>
  <c r="D91" i="12"/>
  <c r="D92" i="12"/>
  <c r="D93" i="12"/>
  <c r="D94" i="12"/>
  <c r="D95" i="12"/>
  <c r="D96" i="12"/>
  <c r="D97" i="12"/>
  <c r="D98" i="12"/>
  <c r="D99" i="12"/>
  <c r="D100" i="12"/>
  <c r="D101" i="12"/>
  <c r="D102" i="12"/>
  <c r="D103" i="12"/>
  <c r="D104" i="12"/>
  <c r="D105" i="12"/>
  <c r="D106" i="12"/>
  <c r="D107" i="12"/>
  <c r="D108" i="12"/>
  <c r="D109" i="12"/>
  <c r="D110" i="12"/>
  <c r="D111" i="12"/>
  <c r="D112" i="12"/>
  <c r="D113" i="12"/>
  <c r="D114" i="12"/>
  <c r="D4" i="12" l="1"/>
  <c r="D3" i="12"/>
  <c r="C4" i="10" s="1"/>
  <c r="C6" i="10" s="1"/>
  <c r="I38" i="2"/>
  <c r="I39" i="2" s="1"/>
  <c r="I50" i="2" s="1"/>
  <c r="F40" i="14"/>
  <c r="F39" i="14"/>
  <c r="F25" i="14"/>
  <c r="F24" i="14"/>
  <c r="F84" i="4"/>
  <c r="E6" i="14" s="1"/>
  <c r="G84" i="4"/>
  <c r="F6" i="14" s="1"/>
  <c r="H84" i="4"/>
  <c r="G6" i="14" s="1"/>
  <c r="E84" i="4"/>
  <c r="D6" i="14" s="1"/>
  <c r="F80" i="4"/>
  <c r="G80" i="4"/>
  <c r="H80" i="4"/>
  <c r="I80" i="4"/>
  <c r="J80" i="4"/>
  <c r="K80" i="4"/>
  <c r="L80" i="4"/>
  <c r="M80" i="4"/>
  <c r="E80" i="4"/>
  <c r="E5" i="14"/>
  <c r="F5" i="14"/>
  <c r="G5" i="14"/>
  <c r="D5" i="14"/>
  <c r="E4" i="14"/>
  <c r="F4" i="14"/>
  <c r="G4" i="14"/>
  <c r="D4" i="14"/>
  <c r="F2" i="14"/>
  <c r="G2" i="14" s="1"/>
  <c r="H2" i="14" s="1"/>
  <c r="I2" i="14" s="1"/>
  <c r="J2" i="14" s="1"/>
  <c r="K2" i="14" s="1"/>
  <c r="L2" i="14" s="1"/>
  <c r="E2" i="14"/>
  <c r="C45" i="13"/>
  <c r="D45" i="13" s="1"/>
  <c r="E45" i="13" s="1"/>
  <c r="C44" i="13"/>
  <c r="D44" i="13" s="1"/>
  <c r="E44" i="13" s="1"/>
  <c r="I65" i="2"/>
  <c r="J65" i="2" s="1"/>
  <c r="K65" i="2" s="1"/>
  <c r="L65" i="2" s="1"/>
  <c r="M65" i="2" s="1"/>
  <c r="I60" i="2"/>
  <c r="J60" i="2" s="1"/>
  <c r="K60" i="2" s="1"/>
  <c r="L60" i="2" s="1"/>
  <c r="M60" i="2" s="1"/>
  <c r="J59" i="2"/>
  <c r="K59" i="2" s="1"/>
  <c r="L59" i="2" s="1"/>
  <c r="M59" i="2" s="1"/>
  <c r="H20" i="13"/>
  <c r="I20" i="13"/>
  <c r="H21" i="13"/>
  <c r="I21" i="13"/>
  <c r="H22" i="13"/>
  <c r="I22" i="13"/>
  <c r="H23" i="13"/>
  <c r="I23" i="13"/>
  <c r="H26" i="13"/>
  <c r="I26" i="13"/>
  <c r="H27" i="13"/>
  <c r="I27" i="13"/>
  <c r="H28" i="13"/>
  <c r="I28" i="13"/>
  <c r="H29" i="13"/>
  <c r="I29" i="13"/>
  <c r="D26" i="13"/>
  <c r="E26" i="13"/>
  <c r="F26" i="13"/>
  <c r="D33" i="13"/>
  <c r="D27" i="13"/>
  <c r="E27" i="13"/>
  <c r="F27" i="13"/>
  <c r="G27" i="13"/>
  <c r="D28" i="13"/>
  <c r="E28" i="13"/>
  <c r="F28" i="13"/>
  <c r="G28" i="13"/>
  <c r="D29" i="13"/>
  <c r="E29" i="13"/>
  <c r="F29" i="13"/>
  <c r="G29" i="13"/>
  <c r="C29" i="13"/>
  <c r="C28" i="13"/>
  <c r="C27" i="13"/>
  <c r="C26" i="13"/>
  <c r="J51" i="2"/>
  <c r="K51" i="2"/>
  <c r="L51" i="2"/>
  <c r="M51" i="2"/>
  <c r="I51" i="2"/>
  <c r="J49" i="2"/>
  <c r="K49" i="2" s="1"/>
  <c r="L49" i="2" s="1"/>
  <c r="M49" i="2" s="1"/>
  <c r="J34" i="2"/>
  <c r="K34" i="2" s="1"/>
  <c r="L34" i="2" s="1"/>
  <c r="M34" i="2" s="1"/>
  <c r="D41" i="13" l="1"/>
  <c r="D43" i="13" s="1"/>
  <c r="D46" i="13" s="1"/>
  <c r="I40" i="2"/>
  <c r="I37" i="2"/>
  <c r="J38" i="2" s="1"/>
  <c r="I45" i="2"/>
  <c r="D21" i="13"/>
  <c r="E21" i="13"/>
  <c r="F21" i="13"/>
  <c r="G21" i="13"/>
  <c r="D22" i="13"/>
  <c r="E22" i="13"/>
  <c r="F22" i="13"/>
  <c r="G22" i="13"/>
  <c r="D23" i="13"/>
  <c r="E23" i="13"/>
  <c r="F23" i="13"/>
  <c r="G23" i="13"/>
  <c r="C23" i="13"/>
  <c r="C22" i="13"/>
  <c r="C21" i="13"/>
  <c r="D20" i="13"/>
  <c r="E20" i="13"/>
  <c r="F20" i="13"/>
  <c r="G20" i="13"/>
  <c r="C20" i="13"/>
  <c r="D43" i="6"/>
  <c r="E36" i="6"/>
  <c r="F36" i="6"/>
  <c r="G36" i="6"/>
  <c r="E37" i="6"/>
  <c r="F37" i="6"/>
  <c r="G37" i="6"/>
  <c r="E38" i="6"/>
  <c r="F38" i="6"/>
  <c r="G38" i="6"/>
  <c r="H38" i="6"/>
  <c r="I38" i="6"/>
  <c r="J38" i="6"/>
  <c r="K38" i="6"/>
  <c r="L38" i="6"/>
  <c r="E40" i="6"/>
  <c r="F40" i="6"/>
  <c r="G40" i="6"/>
  <c r="E31" i="6"/>
  <c r="F31" i="6"/>
  <c r="G31" i="6"/>
  <c r="E32" i="6"/>
  <c r="F32" i="6"/>
  <c r="G32" i="6"/>
  <c r="E9" i="6"/>
  <c r="F9" i="6"/>
  <c r="G9" i="6"/>
  <c r="E10" i="6"/>
  <c r="F10" i="6"/>
  <c r="G10" i="6"/>
  <c r="E11" i="6"/>
  <c r="F11" i="6"/>
  <c r="G11" i="6"/>
  <c r="E12" i="6"/>
  <c r="F12" i="6"/>
  <c r="G12" i="6"/>
  <c r="E13" i="6"/>
  <c r="F13" i="6"/>
  <c r="G13" i="6"/>
  <c r="E14" i="6"/>
  <c r="F14" i="6"/>
  <c r="G14" i="6"/>
  <c r="E15" i="6"/>
  <c r="F15" i="6"/>
  <c r="G15" i="6"/>
  <c r="E16" i="6"/>
  <c r="F16" i="6"/>
  <c r="G16" i="6"/>
  <c r="E17" i="6"/>
  <c r="F17" i="6"/>
  <c r="G17" i="6"/>
  <c r="E19" i="6"/>
  <c r="F19" i="6"/>
  <c r="G19" i="6"/>
  <c r="E20" i="6"/>
  <c r="F20" i="6"/>
  <c r="G20" i="6"/>
  <c r="E21" i="6"/>
  <c r="F21" i="6"/>
  <c r="G21" i="6"/>
  <c r="E22" i="6"/>
  <c r="F22" i="6"/>
  <c r="G22" i="6"/>
  <c r="E23" i="6"/>
  <c r="F23" i="6"/>
  <c r="G23" i="6"/>
  <c r="E24" i="6"/>
  <c r="F24" i="6"/>
  <c r="G24" i="6"/>
  <c r="E25" i="6"/>
  <c r="F25" i="6"/>
  <c r="G25" i="6"/>
  <c r="E26" i="6"/>
  <c r="F26" i="6"/>
  <c r="G26" i="6"/>
  <c r="E27" i="6"/>
  <c r="F27" i="6"/>
  <c r="G27" i="6"/>
  <c r="D32" i="6"/>
  <c r="D31" i="6"/>
  <c r="D23" i="6"/>
  <c r="D22" i="6"/>
  <c r="D21" i="6"/>
  <c r="D20" i="6"/>
  <c r="D19" i="6"/>
  <c r="D12" i="6"/>
  <c r="D11" i="6"/>
  <c r="D10" i="6"/>
  <c r="D9" i="6"/>
  <c r="D38" i="6"/>
  <c r="D40" i="6"/>
  <c r="D37" i="6"/>
  <c r="D36" i="6"/>
  <c r="D25" i="6"/>
  <c r="D26" i="6"/>
  <c r="D27" i="6"/>
  <c r="D24" i="6"/>
  <c r="D14" i="6"/>
  <c r="D15" i="6"/>
  <c r="D16" i="6"/>
  <c r="D17" i="6"/>
  <c r="D13" i="6"/>
  <c r="E3" i="6"/>
  <c r="F3" i="6" s="1"/>
  <c r="G3" i="6" s="1"/>
  <c r="H3" i="6" s="1"/>
  <c r="I3" i="6" s="1"/>
  <c r="J3" i="6" s="1"/>
  <c r="K3" i="6" s="1"/>
  <c r="L3" i="6" s="1"/>
  <c r="J77" i="4"/>
  <c r="J78" i="4" s="1"/>
  <c r="J72" i="4" s="1"/>
  <c r="I36" i="4"/>
  <c r="J36" i="4" s="1"/>
  <c r="K36" i="4" s="1"/>
  <c r="L36" i="4" s="1"/>
  <c r="M36" i="4" s="1"/>
  <c r="L37" i="6" s="1"/>
  <c r="I78" i="4"/>
  <c r="I72" i="4" s="1"/>
  <c r="E73" i="4"/>
  <c r="F73" i="4"/>
  <c r="G73" i="4"/>
  <c r="H73" i="4"/>
  <c r="D73" i="4"/>
  <c r="E74" i="4"/>
  <c r="F70" i="4" s="1"/>
  <c r="F74" i="4"/>
  <c r="G70" i="4" s="1"/>
  <c r="G74" i="4"/>
  <c r="H70" i="4" s="1"/>
  <c r="H74" i="4"/>
  <c r="I70" i="4" s="1"/>
  <c r="D74" i="4"/>
  <c r="E70" i="4" s="1"/>
  <c r="E72" i="4"/>
  <c r="F72" i="4"/>
  <c r="G72" i="4"/>
  <c r="H72" i="4"/>
  <c r="D72" i="4"/>
  <c r="I39" i="4"/>
  <c r="J39" i="4" s="1"/>
  <c r="K39" i="4" s="1"/>
  <c r="L39" i="4" s="1"/>
  <c r="M39" i="4" s="1"/>
  <c r="L40" i="6" s="1"/>
  <c r="I25" i="4"/>
  <c r="J25" i="4" s="1"/>
  <c r="K25" i="4" s="1"/>
  <c r="L25" i="4" s="1"/>
  <c r="M25" i="4" s="1"/>
  <c r="L16" i="6" s="1"/>
  <c r="E17" i="8"/>
  <c r="J28" i="4" s="1"/>
  <c r="F17" i="8"/>
  <c r="K28" i="4" s="1"/>
  <c r="G17" i="8"/>
  <c r="L28" i="4" s="1"/>
  <c r="H17" i="8"/>
  <c r="M28" i="4" s="1"/>
  <c r="D17" i="8"/>
  <c r="I28" i="4" s="1"/>
  <c r="H36" i="6" s="1"/>
  <c r="D29" i="8"/>
  <c r="D32" i="8" s="1"/>
  <c r="D31" i="8"/>
  <c r="D27" i="8"/>
  <c r="E26" i="8"/>
  <c r="F26" i="8" s="1"/>
  <c r="G26" i="8" s="1"/>
  <c r="H26" i="8" s="1"/>
  <c r="E11" i="8"/>
  <c r="F11" i="8" s="1"/>
  <c r="G11" i="8" s="1"/>
  <c r="H11" i="8" s="1"/>
  <c r="E19" i="8"/>
  <c r="F19" i="8" s="1"/>
  <c r="G19" i="8" s="1"/>
  <c r="H19" i="8" s="1"/>
  <c r="C41" i="13" l="1"/>
  <c r="C43" i="13" s="1"/>
  <c r="C46" i="13" s="1"/>
  <c r="E41" i="13"/>
  <c r="E43" i="13" s="1"/>
  <c r="E46" i="13" s="1"/>
  <c r="F19" i="14"/>
  <c r="F16" i="14"/>
  <c r="F17" i="14"/>
  <c r="I35" i="2"/>
  <c r="I46" i="2" s="1"/>
  <c r="I47" i="2" s="1"/>
  <c r="I17" i="2" s="1"/>
  <c r="C17" i="10"/>
  <c r="J39" i="2"/>
  <c r="J40" i="2"/>
  <c r="J37" i="2"/>
  <c r="K38" i="2" s="1"/>
  <c r="C33" i="13"/>
  <c r="E33" i="13"/>
  <c r="I56" i="2"/>
  <c r="I57" i="2" s="1"/>
  <c r="I24" i="2" s="1"/>
  <c r="L36" i="6"/>
  <c r="D33" i="6"/>
  <c r="J36" i="6"/>
  <c r="E33" i="6"/>
  <c r="G33" i="6"/>
  <c r="K36" i="6"/>
  <c r="I36" i="6"/>
  <c r="F33" i="6"/>
  <c r="K77" i="4"/>
  <c r="L77" i="4" s="1"/>
  <c r="H16" i="6"/>
  <c r="K37" i="6"/>
  <c r="J40" i="6"/>
  <c r="J37" i="6"/>
  <c r="I40" i="6"/>
  <c r="I37" i="6"/>
  <c r="H40" i="6"/>
  <c r="H37" i="6"/>
  <c r="K40" i="6"/>
  <c r="K16" i="6"/>
  <c r="J16" i="6"/>
  <c r="I16" i="6"/>
  <c r="I16" i="4"/>
  <c r="I66" i="4"/>
  <c r="J66" i="4" s="1"/>
  <c r="K66" i="4" s="1"/>
  <c r="L66" i="4" s="1"/>
  <c r="M66" i="4" s="1"/>
  <c r="D7" i="5"/>
  <c r="E7" i="5"/>
  <c r="F7" i="5"/>
  <c r="G7" i="5"/>
  <c r="C7" i="5"/>
  <c r="E66" i="4"/>
  <c r="F66" i="4"/>
  <c r="G66" i="4"/>
  <c r="H66" i="4"/>
  <c r="D66" i="4"/>
  <c r="E67" i="4"/>
  <c r="F63" i="4" s="1"/>
  <c r="F67" i="4"/>
  <c r="G63" i="4" s="1"/>
  <c r="G67" i="4"/>
  <c r="H63" i="4" s="1"/>
  <c r="H67" i="4"/>
  <c r="I63" i="4" s="1"/>
  <c r="D67" i="4"/>
  <c r="E63" i="4" s="1"/>
  <c r="E65" i="4"/>
  <c r="F65" i="4"/>
  <c r="G65" i="4"/>
  <c r="H65" i="4"/>
  <c r="D65" i="4"/>
  <c r="E64" i="4"/>
  <c r="F64" i="4"/>
  <c r="G64" i="4"/>
  <c r="H64" i="4"/>
  <c r="D64" i="4"/>
  <c r="D62" i="4"/>
  <c r="D69" i="4" s="1"/>
  <c r="D3" i="5"/>
  <c r="E3" i="5" s="1"/>
  <c r="F3" i="5" s="1"/>
  <c r="G3" i="5" s="1"/>
  <c r="E48" i="4"/>
  <c r="F48" i="4"/>
  <c r="G48" i="4"/>
  <c r="H48" i="4"/>
  <c r="D48" i="4"/>
  <c r="I15" i="4"/>
  <c r="I14" i="4"/>
  <c r="I13" i="4"/>
  <c r="D40" i="4"/>
  <c r="E33" i="4"/>
  <c r="E42" i="4" s="1"/>
  <c r="F33" i="4"/>
  <c r="F42" i="4" s="1"/>
  <c r="G33" i="4"/>
  <c r="G42" i="4" s="1"/>
  <c r="H33" i="4"/>
  <c r="H42" i="4" s="1"/>
  <c r="D27" i="4"/>
  <c r="D33" i="4" s="1"/>
  <c r="E10" i="4"/>
  <c r="E18" i="4" s="1"/>
  <c r="F10" i="4"/>
  <c r="F18" i="4" s="1"/>
  <c r="G10" i="4"/>
  <c r="G18" i="4" s="1"/>
  <c r="H10" i="4"/>
  <c r="H18" i="4" s="1"/>
  <c r="D10" i="4"/>
  <c r="D18" i="4" s="1"/>
  <c r="E3" i="4"/>
  <c r="F3" i="4" s="1"/>
  <c r="G3" i="4" s="1"/>
  <c r="H3" i="4" s="1"/>
  <c r="I3" i="4" s="1"/>
  <c r="J3" i="4" s="1"/>
  <c r="K3" i="4" s="1"/>
  <c r="L3" i="4" s="1"/>
  <c r="M3" i="4" s="1"/>
  <c r="M62" i="4" s="1"/>
  <c r="M69" i="4" s="1"/>
  <c r="I16" i="3"/>
  <c r="J16" i="3" s="1"/>
  <c r="K16" i="3" s="1"/>
  <c r="L16" i="3" s="1"/>
  <c r="M16" i="3" s="1"/>
  <c r="E3" i="3"/>
  <c r="F3" i="3" s="1"/>
  <c r="G3" i="3" s="1"/>
  <c r="H3" i="3" s="1"/>
  <c r="I3" i="3" s="1"/>
  <c r="J3" i="3" s="1"/>
  <c r="K3" i="3" s="1"/>
  <c r="L3" i="3" s="1"/>
  <c r="M3" i="3" s="1"/>
  <c r="D29" i="2"/>
  <c r="D22" i="2"/>
  <c r="D15" i="2"/>
  <c r="H31" i="2"/>
  <c r="G31" i="2"/>
  <c r="F31" i="2"/>
  <c r="E31" i="2"/>
  <c r="E29" i="2" s="1"/>
  <c r="H24" i="2"/>
  <c r="H22" i="2" s="1"/>
  <c r="G24" i="2"/>
  <c r="G22" i="2" s="1"/>
  <c r="F24" i="2"/>
  <c r="F22" i="2" s="1"/>
  <c r="E24" i="2"/>
  <c r="E22" i="2" s="1"/>
  <c r="F17" i="2"/>
  <c r="F15" i="2" s="1"/>
  <c r="G17" i="2"/>
  <c r="G15" i="2" s="1"/>
  <c r="H17" i="2"/>
  <c r="H15" i="2" s="1"/>
  <c r="E17" i="2"/>
  <c r="E15" i="2" s="1"/>
  <c r="E7" i="2"/>
  <c r="F7" i="2"/>
  <c r="G7" i="2"/>
  <c r="H7" i="2"/>
  <c r="E8" i="2"/>
  <c r="F8" i="2"/>
  <c r="G8" i="2"/>
  <c r="H8" i="2"/>
  <c r="E9" i="2"/>
  <c r="F9" i="2"/>
  <c r="G9" i="2"/>
  <c r="H9" i="2"/>
  <c r="D9" i="2"/>
  <c r="D8" i="2"/>
  <c r="D7" i="2"/>
  <c r="E3" i="2"/>
  <c r="F3" i="2" s="1"/>
  <c r="G3" i="2" s="1"/>
  <c r="H3" i="2" s="1"/>
  <c r="I3" i="2" s="1"/>
  <c r="J3" i="2" s="1"/>
  <c r="K3" i="2" s="1"/>
  <c r="L3" i="2" s="1"/>
  <c r="M3" i="2" s="1"/>
  <c r="C11" i="1"/>
  <c r="C12" i="1" s="1"/>
  <c r="C13" i="1" s="1"/>
  <c r="C14" i="1" s="1"/>
  <c r="C15" i="1" s="1"/>
  <c r="C16" i="1" s="1"/>
  <c r="C17" i="1" s="1"/>
  <c r="C18" i="1" s="1"/>
  <c r="C19" i="1" s="1"/>
  <c r="I15" i="2" l="1"/>
  <c r="I13" i="2" s="1"/>
  <c r="I7" i="2" s="1"/>
  <c r="I18" i="2"/>
  <c r="I16" i="2"/>
  <c r="C18" i="10"/>
  <c r="K39" i="2"/>
  <c r="K40" i="2"/>
  <c r="D4" i="2"/>
  <c r="D4" i="3" s="1"/>
  <c r="D32" i="3" s="1"/>
  <c r="F4" i="2"/>
  <c r="F4" i="3" s="1"/>
  <c r="E4" i="2"/>
  <c r="E4" i="3" s="1"/>
  <c r="H4" i="2"/>
  <c r="H4" i="3" s="1"/>
  <c r="I23" i="2"/>
  <c r="G4" i="2"/>
  <c r="G4" i="3" s="1"/>
  <c r="F29" i="2"/>
  <c r="G29" i="2"/>
  <c r="H29" i="2"/>
  <c r="K78" i="4"/>
  <c r="K72" i="4" s="1"/>
  <c r="J16" i="4"/>
  <c r="H22" i="6"/>
  <c r="J15" i="4"/>
  <c r="H21" i="6"/>
  <c r="J13" i="4"/>
  <c r="H32" i="6"/>
  <c r="J14" i="4"/>
  <c r="H20" i="6"/>
  <c r="M77" i="4"/>
  <c r="M78" i="4" s="1"/>
  <c r="M72" i="4" s="1"/>
  <c r="L78" i="4"/>
  <c r="L72" i="4" s="1"/>
  <c r="G62" i="4"/>
  <c r="G69" i="4" s="1"/>
  <c r="F62" i="4"/>
  <c r="F69" i="4" s="1"/>
  <c r="E62" i="4"/>
  <c r="E69" i="4" s="1"/>
  <c r="L62" i="4"/>
  <c r="L69" i="4" s="1"/>
  <c r="K62" i="4"/>
  <c r="K69" i="4" s="1"/>
  <c r="J62" i="4"/>
  <c r="J69" i="4" s="1"/>
  <c r="I62" i="4"/>
  <c r="I69" i="4" s="1"/>
  <c r="H62" i="4"/>
  <c r="H69" i="4" s="1"/>
  <c r="D42" i="4"/>
  <c r="H36" i="3" l="1"/>
  <c r="F46" i="4"/>
  <c r="F55" i="4" s="1"/>
  <c r="D36" i="3"/>
  <c r="D34" i="3"/>
  <c r="D35" i="3"/>
  <c r="F37" i="3"/>
  <c r="D46" i="4"/>
  <c r="F47" i="4"/>
  <c r="D37" i="3"/>
  <c r="I37" i="3" s="1"/>
  <c r="J37" i="3" s="1"/>
  <c r="K37" i="3" s="1"/>
  <c r="L37" i="3" s="1"/>
  <c r="M37" i="3" s="1"/>
  <c r="D6" i="3"/>
  <c r="D13" i="3" s="1"/>
  <c r="D23" i="3" s="1"/>
  <c r="D24" i="3" s="1"/>
  <c r="H5" i="2"/>
  <c r="F51" i="4"/>
  <c r="K50" i="2"/>
  <c r="K37" i="2"/>
  <c r="L38" i="2" s="1"/>
  <c r="F49" i="4"/>
  <c r="F56" i="4"/>
  <c r="F59" i="4"/>
  <c r="F36" i="3"/>
  <c r="E5" i="2"/>
  <c r="E37" i="3"/>
  <c r="E36" i="3"/>
  <c r="G5" i="2"/>
  <c r="E6" i="3"/>
  <c r="E7" i="3" s="1"/>
  <c r="F34" i="3"/>
  <c r="E34" i="3"/>
  <c r="F60" i="4"/>
  <c r="E32" i="3"/>
  <c r="F32" i="3"/>
  <c r="F53" i="4"/>
  <c r="F5" i="2"/>
  <c r="E35" i="3"/>
  <c r="F6" i="3"/>
  <c r="F7" i="3" s="1"/>
  <c r="F35" i="3"/>
  <c r="E46" i="4"/>
  <c r="H35" i="3"/>
  <c r="H46" i="4"/>
  <c r="H32" i="3"/>
  <c r="H34" i="3"/>
  <c r="H37" i="3"/>
  <c r="H6" i="3"/>
  <c r="H7" i="3" s="1"/>
  <c r="G32" i="3"/>
  <c r="G46" i="4"/>
  <c r="G34" i="3"/>
  <c r="G35" i="3"/>
  <c r="G37" i="3"/>
  <c r="I25" i="2"/>
  <c r="I22" i="2"/>
  <c r="I20" i="2" s="1"/>
  <c r="G6" i="3"/>
  <c r="G13" i="3" s="1"/>
  <c r="G36" i="3"/>
  <c r="D47" i="4"/>
  <c r="I29" i="2"/>
  <c r="I27" i="2" s="1"/>
  <c r="I32" i="2"/>
  <c r="I30" i="2"/>
  <c r="D14" i="3"/>
  <c r="D59" i="4"/>
  <c r="K13" i="4"/>
  <c r="I32" i="6"/>
  <c r="K16" i="4"/>
  <c r="I22" i="6"/>
  <c r="K14" i="4"/>
  <c r="I20" i="6"/>
  <c r="K15" i="4"/>
  <c r="I21" i="6"/>
  <c r="D57" i="4" l="1"/>
  <c r="D54" i="4"/>
  <c r="D50" i="4"/>
  <c r="H52" i="4"/>
  <c r="I52" i="4" s="1"/>
  <c r="J52" i="4" s="1"/>
  <c r="H54" i="4"/>
  <c r="D55" i="4"/>
  <c r="E47" i="4"/>
  <c r="E54" i="4"/>
  <c r="D53" i="4"/>
  <c r="D60" i="4"/>
  <c r="D49" i="4"/>
  <c r="D56" i="4"/>
  <c r="D51" i="4"/>
  <c r="F57" i="4"/>
  <c r="F54" i="4"/>
  <c r="D52" i="4"/>
  <c r="G52" i="4"/>
  <c r="G54" i="4"/>
  <c r="F50" i="4"/>
  <c r="F58" i="4"/>
  <c r="F52" i="4"/>
  <c r="D7" i="3"/>
  <c r="D58" i="4"/>
  <c r="D18" i="3"/>
  <c r="D20" i="3" s="1"/>
  <c r="D71" i="4" s="1"/>
  <c r="L40" i="2"/>
  <c r="L39" i="2"/>
  <c r="E51" i="4"/>
  <c r="H55" i="4"/>
  <c r="L37" i="2"/>
  <c r="M38" i="2" s="1"/>
  <c r="H50" i="4"/>
  <c r="E50" i="4"/>
  <c r="E57" i="4"/>
  <c r="E60" i="4"/>
  <c r="E49" i="4"/>
  <c r="E55" i="4"/>
  <c r="H49" i="4"/>
  <c r="E59" i="4"/>
  <c r="E13" i="3"/>
  <c r="E56" i="4"/>
  <c r="F13" i="3"/>
  <c r="I36" i="3"/>
  <c r="J36" i="3" s="1"/>
  <c r="E58" i="4"/>
  <c r="H56" i="4"/>
  <c r="H53" i="4"/>
  <c r="I53" i="4" s="1"/>
  <c r="J53" i="4" s="1"/>
  <c r="K53" i="4" s="1"/>
  <c r="L53" i="4" s="1"/>
  <c r="M53" i="4" s="1"/>
  <c r="H57" i="4"/>
  <c r="E52" i="4"/>
  <c r="H60" i="4"/>
  <c r="H58" i="4"/>
  <c r="H51" i="4"/>
  <c r="H47" i="4"/>
  <c r="H59" i="4"/>
  <c r="E53" i="4"/>
  <c r="G47" i="4"/>
  <c r="G49" i="4"/>
  <c r="G60" i="4"/>
  <c r="G59" i="4"/>
  <c r="G57" i="4"/>
  <c r="H13" i="3"/>
  <c r="G56" i="4"/>
  <c r="G53" i="4"/>
  <c r="G55" i="4"/>
  <c r="G51" i="4"/>
  <c r="G58" i="4"/>
  <c r="G50" i="4"/>
  <c r="I8" i="2"/>
  <c r="G7" i="3"/>
  <c r="J30" i="2"/>
  <c r="J32" i="2"/>
  <c r="J29" i="2"/>
  <c r="J27" i="2" s="1"/>
  <c r="I9" i="2"/>
  <c r="G18" i="3"/>
  <c r="G23" i="3"/>
  <c r="G14" i="3"/>
  <c r="L13" i="4"/>
  <c r="J32" i="6"/>
  <c r="L15" i="4"/>
  <c r="J21" i="6"/>
  <c r="L14" i="4"/>
  <c r="J20" i="6"/>
  <c r="L16" i="4"/>
  <c r="J22" i="6"/>
  <c r="D21" i="3" l="1"/>
  <c r="D29" i="3"/>
  <c r="D28" i="3"/>
  <c r="D38" i="3"/>
  <c r="J35" i="3"/>
  <c r="I60" i="4"/>
  <c r="J60" i="4" s="1"/>
  <c r="I51" i="4"/>
  <c r="M40" i="2"/>
  <c r="M39" i="2"/>
  <c r="M37" i="2"/>
  <c r="G24" i="3"/>
  <c r="F12" i="14"/>
  <c r="F18" i="3"/>
  <c r="F20" i="3" s="1"/>
  <c r="L50" i="2"/>
  <c r="E14" i="3"/>
  <c r="H18" i="3"/>
  <c r="I50" i="4"/>
  <c r="J50" i="4" s="1"/>
  <c r="K50" i="4" s="1"/>
  <c r="L50" i="4" s="1"/>
  <c r="I49" i="4"/>
  <c r="J49" i="4" s="1"/>
  <c r="F23" i="3"/>
  <c r="F14" i="3"/>
  <c r="E18" i="3"/>
  <c r="E20" i="3" s="1"/>
  <c r="K36" i="3"/>
  <c r="L36" i="3" s="1"/>
  <c r="M36" i="3" s="1"/>
  <c r="E23" i="3"/>
  <c r="H23" i="3"/>
  <c r="H14" i="3"/>
  <c r="I4" i="2"/>
  <c r="I5" i="2" s="1"/>
  <c r="M29" i="2"/>
  <c r="J9" i="2"/>
  <c r="L30" i="2"/>
  <c r="L32" i="2"/>
  <c r="L29" i="2"/>
  <c r="K30" i="2"/>
  <c r="K32" i="2"/>
  <c r="K29" i="2"/>
  <c r="K27" i="2" s="1"/>
  <c r="G20" i="3"/>
  <c r="G38" i="3"/>
  <c r="E3" i="14" s="1"/>
  <c r="E7" i="14" s="1"/>
  <c r="M14" i="4"/>
  <c r="L20" i="6" s="1"/>
  <c r="K20" i="6"/>
  <c r="M15" i="4"/>
  <c r="L21" i="6" s="1"/>
  <c r="K21" i="6"/>
  <c r="M16" i="4"/>
  <c r="L22" i="6" s="1"/>
  <c r="K22" i="6"/>
  <c r="M13" i="4"/>
  <c r="L32" i="6" s="1"/>
  <c r="K32" i="6"/>
  <c r="K35" i="3" l="1"/>
  <c r="L35" i="3" s="1"/>
  <c r="K60" i="4"/>
  <c r="L60" i="4" s="1"/>
  <c r="H20" i="3"/>
  <c r="M50" i="4"/>
  <c r="E38" i="3"/>
  <c r="H24" i="3"/>
  <c r="G12" i="14"/>
  <c r="E24" i="3"/>
  <c r="D12" i="14"/>
  <c r="H38" i="3"/>
  <c r="F24" i="3"/>
  <c r="E12" i="14"/>
  <c r="F38" i="3"/>
  <c r="D3" i="14" s="1"/>
  <c r="D7" i="14" s="1"/>
  <c r="M50" i="2"/>
  <c r="L27" i="2"/>
  <c r="M27" i="2" s="1"/>
  <c r="K49" i="4"/>
  <c r="L49" i="4" s="1"/>
  <c r="M49" i="4" s="1"/>
  <c r="I4" i="3"/>
  <c r="I9" i="3" s="1"/>
  <c r="M32" i="2"/>
  <c r="M30" i="2"/>
  <c r="K9" i="2"/>
  <c r="E28" i="3"/>
  <c r="E29" i="3"/>
  <c r="G27" i="3"/>
  <c r="G26" i="3"/>
  <c r="H27" i="3"/>
  <c r="H26" i="3"/>
  <c r="F28" i="3"/>
  <c r="F29" i="3"/>
  <c r="E21" i="3"/>
  <c r="D4" i="6"/>
  <c r="E71" i="4"/>
  <c r="H21" i="3"/>
  <c r="H71" i="4"/>
  <c r="G4" i="6"/>
  <c r="I54" i="4"/>
  <c r="J54" i="4" s="1"/>
  <c r="G21" i="3"/>
  <c r="F4" i="6"/>
  <c r="G71" i="4"/>
  <c r="F21" i="3"/>
  <c r="E4" i="6"/>
  <c r="F71" i="4"/>
  <c r="F3" i="14" l="1"/>
  <c r="F7" i="14" s="1"/>
  <c r="C10" i="10"/>
  <c r="I17" i="3"/>
  <c r="M35" i="3"/>
  <c r="M60" i="4"/>
  <c r="I38" i="3"/>
  <c r="J38" i="3" s="1"/>
  <c r="K38" i="3" s="1"/>
  <c r="L38" i="3" s="1"/>
  <c r="M38" i="3" s="1"/>
  <c r="I26" i="3"/>
  <c r="J26" i="3" s="1"/>
  <c r="K26" i="3" s="1"/>
  <c r="L26" i="3" s="1"/>
  <c r="M26" i="3" s="1"/>
  <c r="C47" i="13"/>
  <c r="G3" i="14"/>
  <c r="G7" i="14" s="1"/>
  <c r="I27" i="3"/>
  <c r="J27" i="3" s="1"/>
  <c r="K27" i="3" s="1"/>
  <c r="L27" i="3" s="1"/>
  <c r="M27" i="3" s="1"/>
  <c r="F27" i="14"/>
  <c r="F42" i="14" s="1"/>
  <c r="I11" i="3"/>
  <c r="I10" i="3"/>
  <c r="I5" i="3"/>
  <c r="I22" i="4" s="1"/>
  <c r="I46" i="4"/>
  <c r="I31" i="4" s="1"/>
  <c r="I12" i="3"/>
  <c r="L9" i="2"/>
  <c r="M9" i="2"/>
  <c r="E39" i="6"/>
  <c r="E41" i="6" s="1"/>
  <c r="E28" i="6"/>
  <c r="F39" i="6"/>
  <c r="F41" i="6" s="1"/>
  <c r="F28" i="6"/>
  <c r="D39" i="6"/>
  <c r="D41" i="6" s="1"/>
  <c r="D28" i="6"/>
  <c r="G39" i="6"/>
  <c r="G41" i="6" s="1"/>
  <c r="G28" i="6"/>
  <c r="I17" i="4" l="1"/>
  <c r="H23" i="6" s="1"/>
  <c r="I64" i="4"/>
  <c r="C11" i="10"/>
  <c r="C19" i="10" s="1"/>
  <c r="F15" i="14" s="1"/>
  <c r="D47" i="13"/>
  <c r="C48" i="13"/>
  <c r="C50" i="13" s="1"/>
  <c r="I65" i="4"/>
  <c r="H5" i="14"/>
  <c r="I9" i="4"/>
  <c r="I26" i="4" s="1"/>
  <c r="H17" i="6" s="1"/>
  <c r="I23" i="4"/>
  <c r="H14" i="6" s="1"/>
  <c r="I6" i="3"/>
  <c r="I13" i="3" s="1"/>
  <c r="H3" i="14" s="1"/>
  <c r="I7" i="4"/>
  <c r="H10" i="6" s="1"/>
  <c r="I24" i="4"/>
  <c r="H15" i="6" s="1"/>
  <c r="I29" i="4"/>
  <c r="H24" i="6" s="1"/>
  <c r="I12" i="4"/>
  <c r="H19" i="6" s="1"/>
  <c r="I6" i="4"/>
  <c r="H9" i="6" s="1"/>
  <c r="I32" i="4"/>
  <c r="H27" i="6" s="1"/>
  <c r="H26" i="6"/>
  <c r="I30" i="4"/>
  <c r="H25" i="6" s="1"/>
  <c r="I8" i="4"/>
  <c r="H11" i="6" s="1"/>
  <c r="H13" i="6"/>
  <c r="E44" i="6"/>
  <c r="G44" i="6"/>
  <c r="D44" i="6"/>
  <c r="D45" i="6" s="1"/>
  <c r="E43" i="6" s="1"/>
  <c r="F44" i="6"/>
  <c r="H9" i="14" l="1"/>
  <c r="K9" i="14"/>
  <c r="J9" i="14"/>
  <c r="F33" i="14"/>
  <c r="L9" i="14"/>
  <c r="I9" i="14"/>
  <c r="E47" i="13"/>
  <c r="E48" i="13" s="1"/>
  <c r="E50" i="13" s="1"/>
  <c r="D48" i="13"/>
  <c r="H12" i="6"/>
  <c r="I7" i="3"/>
  <c r="I27" i="4"/>
  <c r="I82" i="4" s="1"/>
  <c r="I14" i="3"/>
  <c r="I23" i="3"/>
  <c r="E45" i="6"/>
  <c r="F43" i="6" s="1"/>
  <c r="F45" i="6" s="1"/>
  <c r="G43" i="6" s="1"/>
  <c r="G45" i="6" s="1"/>
  <c r="H43" i="6" s="1"/>
  <c r="C35" i="1" l="1"/>
  <c r="H29" i="1" s="1"/>
  <c r="D50" i="13"/>
  <c r="C36" i="1" s="1"/>
  <c r="I33" i="4"/>
  <c r="I24" i="3"/>
  <c r="H12" i="14"/>
  <c r="I67" i="4" l="1"/>
  <c r="I11" i="4" s="1"/>
  <c r="H31" i="6" s="1"/>
  <c r="H33" i="6" s="1"/>
  <c r="H4" i="14"/>
  <c r="J63" i="4" l="1"/>
  <c r="J50" i="2" l="1"/>
  <c r="J54" i="2" s="1"/>
  <c r="K54" i="2" s="1"/>
  <c r="L54" i="2" s="1"/>
  <c r="M54" i="2" s="1"/>
  <c r="J45" i="2" l="1"/>
  <c r="K45" i="2" s="1"/>
  <c r="K56" i="2"/>
  <c r="J56" i="2"/>
  <c r="J57" i="2" l="1"/>
  <c r="J24" i="2" s="1"/>
  <c r="K57" i="2"/>
  <c r="K24" i="2" s="1"/>
  <c r="J35" i="2"/>
  <c r="J46" i="2" s="1"/>
  <c r="J47" i="2" s="1"/>
  <c r="J17" i="2" s="1"/>
  <c r="M56" i="2"/>
  <c r="K35" i="2"/>
  <c r="K46" i="2" s="1"/>
  <c r="L45" i="2"/>
  <c r="K47" i="2" l="1"/>
  <c r="K17" i="2" s="1"/>
  <c r="K16" i="2" s="1"/>
  <c r="J22" i="2"/>
  <c r="J20" i="2" s="1"/>
  <c r="J25" i="2"/>
  <c r="J23" i="2"/>
  <c r="K23" i="2"/>
  <c r="K25" i="2"/>
  <c r="K22" i="2"/>
  <c r="J16" i="2"/>
  <c r="J18" i="2"/>
  <c r="J15" i="2"/>
  <c r="J13" i="2" s="1"/>
  <c r="J7" i="2" s="1"/>
  <c r="L56" i="2"/>
  <c r="M57" i="2" s="1"/>
  <c r="M24" i="2" s="1"/>
  <c r="L35" i="2"/>
  <c r="L46" i="2" s="1"/>
  <c r="L47" i="2" s="1"/>
  <c r="L17" i="2" s="1"/>
  <c r="M45" i="2"/>
  <c r="M35" i="2" s="1"/>
  <c r="M46" i="2" s="1"/>
  <c r="J8" i="2" l="1"/>
  <c r="J4" i="2" s="1"/>
  <c r="J5" i="2" s="1"/>
  <c r="K15" i="2"/>
  <c r="K13" i="2" s="1"/>
  <c r="K7" i="2" s="1"/>
  <c r="K18" i="2"/>
  <c r="K20" i="2"/>
  <c r="L57" i="2"/>
  <c r="L24" i="2" s="1"/>
  <c r="M22" i="2"/>
  <c r="M25" i="2"/>
  <c r="M23" i="2"/>
  <c r="L15" i="2"/>
  <c r="L18" i="2"/>
  <c r="L16" i="2"/>
  <c r="M47" i="2"/>
  <c r="M17" i="2" s="1"/>
  <c r="K8" i="2" l="1"/>
  <c r="K4" i="2" s="1"/>
  <c r="K5" i="2" s="1"/>
  <c r="J4" i="3"/>
  <c r="L22" i="2"/>
  <c r="L20" i="2" s="1"/>
  <c r="L23" i="2"/>
  <c r="L25" i="2"/>
  <c r="M15" i="2"/>
  <c r="M16" i="2"/>
  <c r="M18" i="2"/>
  <c r="L13" i="2"/>
  <c r="L7" i="2" s="1"/>
  <c r="J17" i="3" l="1"/>
  <c r="J9" i="3"/>
  <c r="L8" i="2"/>
  <c r="L4" i="2" s="1"/>
  <c r="L4" i="3" s="1"/>
  <c r="L9" i="3" s="1"/>
  <c r="J10" i="3"/>
  <c r="J46" i="4"/>
  <c r="J64" i="4" s="1"/>
  <c r="K4" i="3"/>
  <c r="J5" i="3"/>
  <c r="J22" i="4" s="1"/>
  <c r="I13" i="6" s="1"/>
  <c r="J11" i="3"/>
  <c r="J65" i="4" s="1"/>
  <c r="J12" i="3"/>
  <c r="M20" i="2"/>
  <c r="M13" i="2"/>
  <c r="M7" i="2" s="1"/>
  <c r="K46" i="4" l="1"/>
  <c r="K64" i="4" s="1"/>
  <c r="K9" i="3"/>
  <c r="M8" i="2"/>
  <c r="M4" i="2" s="1"/>
  <c r="M4" i="3" s="1"/>
  <c r="I5" i="14"/>
  <c r="J6" i="3"/>
  <c r="J7" i="3" s="1"/>
  <c r="J30" i="4"/>
  <c r="I25" i="6" s="1"/>
  <c r="K12" i="3"/>
  <c r="K17" i="3"/>
  <c r="K10" i="3"/>
  <c r="K11" i="3"/>
  <c r="K65" i="4" s="1"/>
  <c r="K5" i="3"/>
  <c r="K22" i="4" s="1"/>
  <c r="J13" i="6" s="1"/>
  <c r="J17" i="4"/>
  <c r="I23" i="6" s="1"/>
  <c r="J29" i="4"/>
  <c r="I24" i="6" s="1"/>
  <c r="J6" i="4"/>
  <c r="I9" i="6" s="1"/>
  <c r="J7" i="4"/>
  <c r="I10" i="6" s="1"/>
  <c r="J31" i="4"/>
  <c r="I26" i="6" s="1"/>
  <c r="J32" i="4"/>
  <c r="I27" i="6" s="1"/>
  <c r="J12" i="4"/>
  <c r="I19" i="6" s="1"/>
  <c r="J8" i="4"/>
  <c r="I11" i="6" s="1"/>
  <c r="J9" i="4"/>
  <c r="J26" i="4" s="1"/>
  <c r="J23" i="4"/>
  <c r="I14" i="6" s="1"/>
  <c r="J24" i="4"/>
  <c r="I15" i="6" s="1"/>
  <c r="L5" i="2"/>
  <c r="L17" i="3"/>
  <c r="K9" i="4"/>
  <c r="L11" i="3"/>
  <c r="L5" i="3"/>
  <c r="L46" i="4"/>
  <c r="L64" i="4" s="1"/>
  <c r="L10" i="3"/>
  <c r="L12" i="3"/>
  <c r="K8" i="4" l="1"/>
  <c r="J11" i="6" s="1"/>
  <c r="K12" i="4"/>
  <c r="J19" i="6" s="1"/>
  <c r="K23" i="4"/>
  <c r="J14" i="6" s="1"/>
  <c r="K24" i="4"/>
  <c r="J15" i="6" s="1"/>
  <c r="K6" i="4"/>
  <c r="J9" i="6" s="1"/>
  <c r="K17" i="4"/>
  <c r="J23" i="6" s="1"/>
  <c r="K30" i="4"/>
  <c r="J25" i="6" s="1"/>
  <c r="K32" i="4"/>
  <c r="J27" i="6" s="1"/>
  <c r="K7" i="4"/>
  <c r="J10" i="6" s="1"/>
  <c r="K29" i="4"/>
  <c r="J24" i="6" s="1"/>
  <c r="K31" i="4"/>
  <c r="J26" i="6" s="1"/>
  <c r="M5" i="3"/>
  <c r="M22" i="4" s="1"/>
  <c r="M9" i="3"/>
  <c r="J13" i="3"/>
  <c r="I3" i="14" s="1"/>
  <c r="K6" i="3"/>
  <c r="K13" i="3" s="1"/>
  <c r="M5" i="2"/>
  <c r="M11" i="3"/>
  <c r="M65" i="4" s="1"/>
  <c r="M12" i="3"/>
  <c r="J5" i="14"/>
  <c r="M10" i="3"/>
  <c r="I12" i="6"/>
  <c r="M17" i="3"/>
  <c r="M46" i="4"/>
  <c r="M64" i="4" s="1"/>
  <c r="L29" i="4"/>
  <c r="L9" i="4"/>
  <c r="L8" i="4"/>
  <c r="L24" i="4"/>
  <c r="L30" i="4"/>
  <c r="L7" i="4"/>
  <c r="L17" i="4"/>
  <c r="L32" i="4"/>
  <c r="L6" i="4"/>
  <c r="L31" i="4"/>
  <c r="L12" i="4"/>
  <c r="L23" i="4"/>
  <c r="L22" i="4"/>
  <c r="L6" i="3"/>
  <c r="L65" i="4"/>
  <c r="K5" i="14"/>
  <c r="J12" i="6"/>
  <c r="K26" i="4"/>
  <c r="J17" i="6" s="1"/>
  <c r="J27" i="4"/>
  <c r="J82" i="4" s="1"/>
  <c r="I17" i="6"/>
  <c r="K14" i="6" l="1"/>
  <c r="K11" i="6"/>
  <c r="K19" i="6"/>
  <c r="K9" i="6"/>
  <c r="K24" i="6"/>
  <c r="K27" i="6"/>
  <c r="L13" i="6"/>
  <c r="K23" i="6"/>
  <c r="K10" i="6"/>
  <c r="K25" i="6"/>
  <c r="K15" i="6"/>
  <c r="M6" i="3"/>
  <c r="M7" i="3" s="1"/>
  <c r="K26" i="6"/>
  <c r="J14" i="3"/>
  <c r="J23" i="3"/>
  <c r="I12" i="14" s="1"/>
  <c r="M7" i="4"/>
  <c r="L10" i="6" s="1"/>
  <c r="M8" i="4"/>
  <c r="L11" i="6" s="1"/>
  <c r="L5" i="14"/>
  <c r="K7" i="3"/>
  <c r="M29" i="4"/>
  <c r="L24" i="6" s="1"/>
  <c r="M12" i="4"/>
  <c r="L19" i="6" s="1"/>
  <c r="M23" i="4"/>
  <c r="L14" i="6" s="1"/>
  <c r="M17" i="4"/>
  <c r="L23" i="6" s="1"/>
  <c r="M32" i="4"/>
  <c r="L27" i="6" s="1"/>
  <c r="M6" i="4"/>
  <c r="L9" i="6" s="1"/>
  <c r="M30" i="4"/>
  <c r="L25" i="6" s="1"/>
  <c r="M31" i="4"/>
  <c r="L26" i="6" s="1"/>
  <c r="K27" i="4"/>
  <c r="K82" i="4" s="1"/>
  <c r="M24" i="4"/>
  <c r="L15" i="6" s="1"/>
  <c r="M9" i="4"/>
  <c r="M26" i="4" s="1"/>
  <c r="J33" i="4"/>
  <c r="L13" i="3"/>
  <c r="L7" i="3"/>
  <c r="L26" i="4"/>
  <c r="K17" i="6" s="1"/>
  <c r="K12" i="6"/>
  <c r="K13" i="6"/>
  <c r="J3" i="14"/>
  <c r="K14" i="3"/>
  <c r="K23" i="3"/>
  <c r="M13" i="3" l="1"/>
  <c r="L3" i="14" s="1"/>
  <c r="J24" i="3"/>
  <c r="M27" i="4"/>
  <c r="M82" i="4" s="1"/>
  <c r="K33" i="4"/>
  <c r="L12" i="6"/>
  <c r="L27" i="4"/>
  <c r="L4" i="14"/>
  <c r="K24" i="3"/>
  <c r="J12" i="14"/>
  <c r="J4" i="14"/>
  <c r="J67" i="4"/>
  <c r="I4" i="14"/>
  <c r="K3" i="14"/>
  <c r="L23" i="3"/>
  <c r="L14" i="3"/>
  <c r="L17" i="6"/>
  <c r="M14" i="3" l="1"/>
  <c r="M23" i="3"/>
  <c r="M24" i="3" s="1"/>
  <c r="M33" i="4"/>
  <c r="L33" i="4"/>
  <c r="L82" i="4"/>
  <c r="L24" i="3"/>
  <c r="K12" i="14"/>
  <c r="K4" i="14"/>
  <c r="K63" i="4"/>
  <c r="K67" i="4" s="1"/>
  <c r="J11" i="4"/>
  <c r="I31" i="6" s="1"/>
  <c r="I33" i="6" s="1"/>
  <c r="L12" i="14" l="1"/>
  <c r="F20" i="14" s="1"/>
  <c r="F21" i="14" s="1"/>
  <c r="L63" i="4"/>
  <c r="L67" i="4" s="1"/>
  <c r="K11" i="4"/>
  <c r="J31" i="6" s="1"/>
  <c r="J33" i="6" s="1"/>
  <c r="M63" i="4" l="1"/>
  <c r="M67" i="4" s="1"/>
  <c r="M11" i="4" s="1"/>
  <c r="L11" i="4"/>
  <c r="K31" i="6" s="1"/>
  <c r="K33" i="6" s="1"/>
  <c r="L31" i="6" l="1"/>
  <c r="L33" i="6" s="1"/>
  <c r="D35" i="8" l="1"/>
  <c r="I15" i="3" l="1"/>
  <c r="I18" i="3" s="1"/>
  <c r="I19" i="3" s="1"/>
  <c r="I20" i="3" s="1"/>
  <c r="I28" i="3" l="1"/>
  <c r="H4" i="6"/>
  <c r="H28" i="6" s="1"/>
  <c r="I21" i="3"/>
  <c r="I29" i="3"/>
  <c r="I71" i="4"/>
  <c r="I74" i="4" s="1"/>
  <c r="J70" i="4" s="1"/>
  <c r="I38" i="4" l="1"/>
  <c r="I40" i="4" s="1"/>
  <c r="I42" i="4" s="1"/>
  <c r="D34" i="13"/>
  <c r="D35" i="13" s="1"/>
  <c r="D37" i="13" s="1"/>
  <c r="C32" i="1" s="1"/>
  <c r="C35" i="13"/>
  <c r="C37" i="13" s="1"/>
  <c r="E35" i="13"/>
  <c r="E37" i="13" s="1"/>
  <c r="C31" i="1"/>
  <c r="H28" i="1" s="1"/>
  <c r="H39" i="6" l="1"/>
  <c r="H41" i="6" s="1"/>
  <c r="H44" i="6" s="1"/>
  <c r="H45" i="6" s="1"/>
  <c r="I43" i="6" s="1"/>
  <c r="I5" i="4" l="1"/>
  <c r="I10" i="4" s="1"/>
  <c r="I81" i="4" s="1"/>
  <c r="I83" i="4" s="1"/>
  <c r="I84" i="4" s="1"/>
  <c r="H6" i="14" s="1"/>
  <c r="H7" i="14" s="1"/>
  <c r="H10" i="14" s="1"/>
  <c r="M15" i="3"/>
  <c r="M18" i="3" s="1"/>
  <c r="M19" i="3" s="1"/>
  <c r="L15" i="3"/>
  <c r="L18" i="3" s="1"/>
  <c r="L19" i="3" s="1"/>
  <c r="L20" i="3" s="1"/>
  <c r="J15" i="3"/>
  <c r="J18" i="3"/>
  <c r="J19" i="3" s="1"/>
  <c r="J20" i="3" s="1"/>
  <c r="K15" i="3"/>
  <c r="K18" i="3"/>
  <c r="K19" i="3" s="1"/>
  <c r="K20" i="3" s="1"/>
  <c r="I18" i="4" l="1"/>
  <c r="I43" i="4" s="1"/>
  <c r="M20" i="3"/>
  <c r="M28" i="3" s="1"/>
  <c r="J4" i="6"/>
  <c r="J28" i="6" s="1"/>
  <c r="K29" i="3"/>
  <c r="K21" i="3"/>
  <c r="K28" i="3"/>
  <c r="K71" i="4"/>
  <c r="J21" i="3"/>
  <c r="J28" i="3"/>
  <c r="J29" i="3"/>
  <c r="I4" i="6"/>
  <c r="I28" i="6" s="1"/>
  <c r="J71" i="4"/>
  <c r="J74" i="4" s="1"/>
  <c r="L29" i="3"/>
  <c r="L71" i="4"/>
  <c r="K4" i="6"/>
  <c r="K28" i="6" s="1"/>
  <c r="L21" i="3"/>
  <c r="L28" i="3"/>
  <c r="M29" i="3" l="1"/>
  <c r="L4" i="6"/>
  <c r="L28" i="6" s="1"/>
  <c r="M71" i="4"/>
  <c r="M21" i="3"/>
  <c r="K70" i="4"/>
  <c r="K74" i="4" s="1"/>
  <c r="J38" i="4"/>
  <c r="J40" i="4" l="1"/>
  <c r="J42" i="4" s="1"/>
  <c r="I39" i="6"/>
  <c r="I41" i="6" s="1"/>
  <c r="I44" i="6" s="1"/>
  <c r="I45" i="6" s="1"/>
  <c r="K38" i="4"/>
  <c r="L70" i="4"/>
  <c r="L74" i="4" s="1"/>
  <c r="J43" i="6" l="1"/>
  <c r="J5" i="4"/>
  <c r="L38" i="4"/>
  <c r="M70" i="4"/>
  <c r="M74" i="4" s="1"/>
  <c r="M38" i="4" s="1"/>
  <c r="J39" i="6"/>
  <c r="J41" i="6" s="1"/>
  <c r="J44" i="6" s="1"/>
  <c r="K40" i="4"/>
  <c r="K42" i="4" s="1"/>
  <c r="J45" i="6" l="1"/>
  <c r="K43" i="6" s="1"/>
  <c r="L39" i="6"/>
  <c r="L41" i="6" s="1"/>
  <c r="L44" i="6" s="1"/>
  <c r="M40" i="4"/>
  <c r="M42" i="4" s="1"/>
  <c r="K39" i="6"/>
  <c r="K41" i="6" s="1"/>
  <c r="K44" i="6" s="1"/>
  <c r="L40" i="4"/>
  <c r="L42" i="4" s="1"/>
  <c r="J10" i="4"/>
  <c r="K45" i="6" l="1"/>
  <c r="L43" i="6" s="1"/>
  <c r="L45" i="6" s="1"/>
  <c r="M5" i="4" s="1"/>
  <c r="K5" i="4"/>
  <c r="K10" i="4" s="1"/>
  <c r="J81" i="4"/>
  <c r="J83" i="4" s="1"/>
  <c r="J84" i="4" s="1"/>
  <c r="I6" i="14" s="1"/>
  <c r="I7" i="14" s="1"/>
  <c r="I10" i="14" s="1"/>
  <c r="J18" i="4"/>
  <c r="J43" i="4" s="1"/>
  <c r="L5" i="4" l="1"/>
  <c r="L10" i="4" s="1"/>
  <c r="K81" i="4"/>
  <c r="K83" i="4" s="1"/>
  <c r="K84" i="4" s="1"/>
  <c r="J6" i="14" s="1"/>
  <c r="J7" i="14" s="1"/>
  <c r="J10" i="14" s="1"/>
  <c r="K18" i="4"/>
  <c r="K43" i="4" s="1"/>
  <c r="M10" i="4"/>
  <c r="M81" i="4" l="1"/>
  <c r="M83" i="4" s="1"/>
  <c r="M18" i="4"/>
  <c r="M43" i="4" s="1"/>
  <c r="L81" i="4"/>
  <c r="L83" i="4" s="1"/>
  <c r="L84" i="4" s="1"/>
  <c r="K6" i="14" s="1"/>
  <c r="K7" i="14" s="1"/>
  <c r="K10" i="14" s="1"/>
  <c r="L18" i="4"/>
  <c r="L43" i="4" s="1"/>
  <c r="M84" i="4" l="1"/>
  <c r="L6" i="14" s="1"/>
  <c r="L7" i="14" s="1"/>
  <c r="F35" i="14" l="1"/>
  <c r="F36" i="14" s="1"/>
  <c r="L10" i="14"/>
  <c r="F22" i="14" l="1"/>
  <c r="F23" i="14" s="1"/>
  <c r="F26" i="14" s="1"/>
  <c r="F28" i="14" s="1"/>
  <c r="F37" i="14"/>
  <c r="F38" i="14" s="1"/>
  <c r="F41" i="14" s="1"/>
  <c r="F43" i="14" s="1"/>
  <c r="I32" i="14" l="1"/>
  <c r="F45" i="14"/>
  <c r="F30" i="14"/>
  <c r="C28" i="1" s="1"/>
  <c r="C27" i="1"/>
  <c r="H27" i="1" s="1"/>
  <c r="H30" i="1" s="1"/>
  <c r="H31" i="1" s="1"/>
  <c r="I1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PARAM</author>
  </authors>
  <commentList>
    <comment ref="I17" authorId="0" shapeId="0" xr:uid="{131EAAFF-09FC-4070-BE4E-7F894C613302}">
      <text>
        <r>
          <rPr>
            <b/>
            <sz val="9"/>
            <color indexed="81"/>
            <rFont val="Tahoma"/>
            <family val="2"/>
          </rPr>
          <t>KA:</t>
        </r>
        <r>
          <rPr>
            <sz val="9"/>
            <color indexed="81"/>
            <rFont val="Tahoma"/>
            <family val="2"/>
          </rPr>
          <t xml:space="preserve">
In line with projections below</t>
        </r>
      </text>
    </comment>
    <comment ref="I24" authorId="0" shapeId="0" xr:uid="{EECD8B18-6AFC-40E7-A3F0-36AF2ECC8ECD}">
      <text>
        <r>
          <rPr>
            <b/>
            <sz val="9"/>
            <color indexed="81"/>
            <rFont val="Tahoma"/>
            <family val="2"/>
          </rPr>
          <t>KA:</t>
        </r>
        <r>
          <rPr>
            <sz val="9"/>
            <color indexed="81"/>
            <rFont val="Tahoma"/>
            <family val="2"/>
          </rPr>
          <t xml:space="preserve">
In line with projections below</t>
        </r>
      </text>
    </comment>
    <comment ref="I31" authorId="0" shapeId="0" xr:uid="{3194F5F8-6CD6-47E0-9B76-7981ED00167C}">
      <text>
        <r>
          <rPr>
            <b/>
            <sz val="9"/>
            <color indexed="81"/>
            <rFont val="Tahoma"/>
            <family val="2"/>
          </rPr>
          <t>KA:</t>
        </r>
        <r>
          <rPr>
            <sz val="9"/>
            <color indexed="81"/>
            <rFont val="Tahoma"/>
            <family val="2"/>
          </rPr>
          <t xml:space="preserve">
Based on estimates below.</t>
        </r>
      </text>
    </comment>
    <comment ref="I36" authorId="0" shapeId="0" xr:uid="{49ABEF25-5E11-4C6D-B96A-0F5C19A93E30}">
      <text>
        <r>
          <rPr>
            <b/>
            <sz val="9"/>
            <color indexed="81"/>
            <rFont val="Tahoma"/>
            <family val="2"/>
          </rPr>
          <t xml:space="preserve">KA:
</t>
        </r>
        <r>
          <rPr>
            <sz val="9"/>
            <color indexed="81"/>
            <rFont val="Tahoma"/>
            <family val="2"/>
          </rPr>
          <t xml:space="preserve">Guidance is around -4-6% for the year. It has been suffering short term due to cost pressures on consumers. Assuming some level of long-term stabilization. </t>
        </r>
      </text>
    </comment>
    <comment ref="I38" authorId="0" shapeId="0" xr:uid="{9FC74144-DF4A-4AF1-B78A-CD1360E5C7C8}">
      <text>
        <r>
          <rPr>
            <b/>
            <sz val="9"/>
            <color indexed="81"/>
            <rFont val="Tahoma"/>
            <family val="2"/>
          </rPr>
          <t>KA:</t>
        </r>
        <r>
          <rPr>
            <sz val="9"/>
            <color indexed="81"/>
            <rFont val="Tahoma"/>
            <family val="2"/>
          </rPr>
          <t xml:space="preserve">
Management is targeting 10k units globally, with a yearly target of 15-16% of total units.</t>
        </r>
      </text>
    </comment>
    <comment ref="I39" authorId="0" shapeId="0" xr:uid="{40AB624D-027B-42D1-949D-A23CBC1D6763}">
      <text>
        <r>
          <rPr>
            <b/>
            <sz val="9"/>
            <color indexed="81"/>
            <rFont val="Tahoma"/>
            <family val="2"/>
          </rPr>
          <t>KA:</t>
        </r>
        <r>
          <rPr>
            <sz val="9"/>
            <color indexed="81"/>
            <rFont val="Tahoma"/>
            <family val="2"/>
          </rPr>
          <t xml:space="preserve">
Rough 70-30 split of unit growth between domestic and international units.</t>
        </r>
      </text>
    </comment>
    <comment ref="I41" authorId="0" shapeId="0" xr:uid="{54EEC0F3-FE6D-4EF3-AB55-5978A8054BF6}">
      <text>
        <r>
          <rPr>
            <b/>
            <sz val="9"/>
            <color indexed="81"/>
            <rFont val="Tahoma"/>
            <family val="2"/>
          </rPr>
          <t>KA:</t>
        </r>
        <r>
          <rPr>
            <sz val="9"/>
            <color indexed="81"/>
            <rFont val="Tahoma"/>
            <family val="2"/>
          </rPr>
          <t xml:space="preserve">
Wingstop charges 2 $25k fees for franchisees when they sign to-be-developed and franchise fees respectively for new stores.</t>
        </r>
      </text>
    </comment>
    <comment ref="I42" authorId="0" shapeId="0" xr:uid="{02F6E81E-C611-487B-BB4D-2C0FA64912C1}">
      <text>
        <r>
          <rPr>
            <b/>
            <sz val="9"/>
            <color indexed="81"/>
            <rFont val="Tahoma"/>
            <family val="2"/>
          </rPr>
          <t xml:space="preserve">KA:
</t>
        </r>
        <r>
          <rPr>
            <sz val="9"/>
            <color indexed="81"/>
            <rFont val="Tahoma"/>
            <family val="2"/>
          </rPr>
          <t>Average of recent developments. Fluctuated in earnings between $2.1 and $1.9 MM.
Management is targeting a long-term goal of $3MM AUV. I have a very modest AUV expansion assumption</t>
        </r>
      </text>
    </comment>
    <comment ref="I43" authorId="0" shapeId="0" xr:uid="{24169B02-03D8-47B8-80BE-684F74D46CC6}">
      <text>
        <r>
          <rPr>
            <b/>
            <sz val="9"/>
            <color indexed="81"/>
            <rFont val="Tahoma"/>
            <family val="2"/>
          </rPr>
          <t>KA:</t>
        </r>
        <r>
          <rPr>
            <sz val="9"/>
            <color indexed="81"/>
            <rFont val="Tahoma"/>
            <family val="2"/>
          </rPr>
          <t xml:space="preserve">
Not disclosed. Calculating based on assumptions difference between systemwide and total domestic sales to do a manual calculation of international AUV.</t>
        </r>
      </text>
    </comment>
    <comment ref="I44" authorId="0" shapeId="0" xr:uid="{B5FD12D5-AF5A-42FE-958C-99EFEB0E38B2}">
      <text>
        <r>
          <rPr>
            <b/>
            <sz val="9"/>
            <color indexed="81"/>
            <rFont val="Tahoma"/>
            <family val="2"/>
          </rPr>
          <t>KA:</t>
        </r>
        <r>
          <rPr>
            <sz val="9"/>
            <color indexed="81"/>
            <rFont val="Tahoma"/>
            <family val="2"/>
          </rPr>
          <t xml:space="preserve">
Rough assumption held constant.</t>
        </r>
      </text>
    </comment>
    <comment ref="I45" authorId="0" shapeId="0" xr:uid="{7A947289-F324-483C-A2BF-501CA7C313FD}">
      <text>
        <r>
          <rPr>
            <b/>
            <sz val="9"/>
            <color indexed="81"/>
            <rFont val="Tahoma"/>
            <family val="2"/>
          </rPr>
          <t>KA:</t>
        </r>
        <r>
          <rPr>
            <sz val="9"/>
            <color indexed="81"/>
            <rFont val="Tahoma"/>
            <family val="2"/>
          </rPr>
          <t xml:space="preserve">
This considers all franchise revenue, most of which WingStop does not collect.</t>
        </r>
      </text>
    </comment>
    <comment ref="I54" authorId="0" shapeId="0" xr:uid="{6A4B2F42-D976-47CF-83AA-8B8899E02152}">
      <text>
        <r>
          <rPr>
            <b/>
            <sz val="9"/>
            <color indexed="81"/>
            <rFont val="Tahoma"/>
            <family val="2"/>
          </rPr>
          <t>KA:</t>
        </r>
        <r>
          <rPr>
            <sz val="9"/>
            <color indexed="81"/>
            <rFont val="Tahoma"/>
            <family val="2"/>
          </rPr>
          <t xml:space="preserve">
Did a manual calculation of what domestic AUV should look like. Not separately reported.</t>
        </r>
      </text>
    </comment>
    <comment ref="I55" authorId="0" shapeId="0" xr:uid="{F3DCA15A-358D-4E1E-A6A4-68EF6511C7FF}">
      <text>
        <r>
          <rPr>
            <b/>
            <sz val="9"/>
            <color indexed="81"/>
            <rFont val="Tahoma"/>
            <family val="2"/>
          </rPr>
          <t xml:space="preserve">KA: 
</t>
        </r>
        <r>
          <rPr>
            <sz val="9"/>
            <color indexed="81"/>
            <rFont val="Tahoma"/>
            <family val="2"/>
          </rPr>
          <t>Taken from 10-K. Has slightly scaled up in the past 5 years. Assuming it will continue this pace.</t>
        </r>
      </text>
    </comment>
    <comment ref="I61" authorId="0" shapeId="0" xr:uid="{57667E52-6523-415C-8E54-509774735A63}">
      <text>
        <r>
          <rPr>
            <b/>
            <sz val="9"/>
            <color indexed="81"/>
            <rFont val="Tahoma"/>
            <family val="2"/>
          </rPr>
          <t>KA:</t>
        </r>
        <r>
          <rPr>
            <sz val="9"/>
            <color indexed="81"/>
            <rFont val="Tahoma"/>
            <family val="2"/>
          </rPr>
          <t xml:space="preserve">
Conservative estimates based on historical trends</t>
        </r>
      </text>
    </comment>
    <comment ref="I62" authorId="0" shapeId="0" xr:uid="{18C0BB12-8453-4EA3-93C2-1F2FD553769E}">
      <text>
        <r>
          <rPr>
            <b/>
            <sz val="9"/>
            <color indexed="81"/>
            <rFont val="Tahoma"/>
            <family val="2"/>
          </rPr>
          <t>KA:</t>
        </r>
        <r>
          <rPr>
            <sz val="9"/>
            <color indexed="81"/>
            <rFont val="Tahoma"/>
            <family val="2"/>
          </rPr>
          <t xml:space="preserve">
Assuming decline due to macroeconomic headwinds and cost pressures on consumers. Expecting normalization moving forward with conservtive growth estimate.</t>
        </r>
      </text>
    </comment>
    <comment ref="I63" authorId="0" shapeId="0" xr:uid="{FAB54855-21AA-4D28-A4A2-A460A4833618}">
      <text>
        <r>
          <rPr>
            <b/>
            <sz val="9"/>
            <color indexed="81"/>
            <rFont val="Tahoma"/>
            <family val="2"/>
          </rPr>
          <t>KA:</t>
        </r>
        <r>
          <rPr>
            <sz val="9"/>
            <color indexed="81"/>
            <rFont val="Tahoma"/>
            <family val="2"/>
          </rPr>
          <t xml:space="preserve">
Rough esimate based on current metrics. Going to keep this constant.</t>
        </r>
      </text>
    </comment>
    <comment ref="I64" authorId="0" shapeId="0" xr:uid="{E43328A1-83B0-405C-925B-94D16DCE73E2}">
      <text>
        <r>
          <rPr>
            <b/>
            <sz val="9"/>
            <color indexed="81"/>
            <rFont val="Tahoma"/>
            <family val="2"/>
          </rPr>
          <t>KA:</t>
        </r>
        <r>
          <rPr>
            <sz val="9"/>
            <color indexed="81"/>
            <rFont val="Tahoma"/>
            <family val="2"/>
          </rPr>
          <t xml:space="preserve">
Sanity check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PARAM</author>
  </authors>
  <commentList>
    <comment ref="H21" authorId="0" shapeId="0" xr:uid="{F0606222-3937-48EA-8EB5-CBAF1A4D0EFF}">
      <text>
        <r>
          <rPr>
            <b/>
            <sz val="9"/>
            <color indexed="81"/>
            <rFont val="Tahoma"/>
            <family val="2"/>
          </rPr>
          <t>KA:</t>
        </r>
        <r>
          <rPr>
            <sz val="9"/>
            <color indexed="81"/>
            <rFont val="Tahoma"/>
            <family val="2"/>
          </rPr>
          <t xml:space="preserve">
Net Margin was significantly inflated due to large investment income. This was a one-time change the inflated margins and growth. Check Cell H17.</t>
        </r>
      </text>
    </comment>
    <comment ref="I35" authorId="0" shapeId="0" xr:uid="{79CA7C92-4E02-412E-99CB-555223E9EE8A}">
      <text>
        <r>
          <rPr>
            <b/>
            <sz val="9"/>
            <color indexed="81"/>
            <rFont val="Tahoma"/>
            <family val="2"/>
          </rPr>
          <t>KA:</t>
        </r>
        <r>
          <rPr>
            <sz val="9"/>
            <color indexed="81"/>
            <rFont val="Tahoma"/>
            <family val="2"/>
          </rPr>
          <t xml:space="preserve">
Company Guidance</t>
        </r>
      </text>
    </comment>
    <comment ref="I37" authorId="0" shapeId="0" xr:uid="{5E156A1F-1391-4063-ACFF-8BC0AA2FEA7D}">
      <text>
        <r>
          <rPr>
            <b/>
            <sz val="9"/>
            <color indexed="81"/>
            <rFont val="Tahoma"/>
            <family val="2"/>
          </rPr>
          <t>KA:</t>
        </r>
        <r>
          <rPr>
            <sz val="9"/>
            <color indexed="81"/>
            <rFont val="Tahoma"/>
            <family val="2"/>
          </rPr>
          <t xml:space="preserve">
Avoiding a rolling average here to maintain sainty. Not going to include outlier year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PARAM</author>
  </authors>
  <commentList>
    <comment ref="I36" authorId="0" shapeId="0" xr:uid="{4B3A1F21-1894-4705-BA3B-50A9A99A3A84}">
      <text>
        <r>
          <rPr>
            <b/>
            <sz val="9"/>
            <color indexed="81"/>
            <rFont val="Tahoma"/>
            <family val="2"/>
          </rPr>
          <t>KA:</t>
        </r>
        <r>
          <rPr>
            <sz val="9"/>
            <color indexed="81"/>
            <rFont val="Tahoma"/>
            <family val="2"/>
          </rPr>
          <t xml:space="preserve">
In line with 1.2MM share buybacks.</t>
        </r>
      </text>
    </comment>
    <comment ref="I37" authorId="0" shapeId="0" xr:uid="{D2AE9E13-70ED-4507-A98D-C0BF771A9491}">
      <text>
        <r>
          <rPr>
            <b/>
            <sz val="9"/>
            <color indexed="81"/>
            <rFont val="Tahoma"/>
            <family val="2"/>
          </rPr>
          <t>KA:</t>
        </r>
        <r>
          <rPr>
            <sz val="9"/>
            <color indexed="81"/>
            <rFont val="Tahoma"/>
            <family val="2"/>
          </rPr>
          <t xml:space="preserve">
Assumed due to massive buy backs, doesn't cause noticeable modeling differences.</t>
        </r>
      </text>
    </comment>
    <comment ref="I47" authorId="0" shapeId="0" xr:uid="{2E9E8A71-4A50-4230-9C1A-2CDA4EF4F649}">
      <text>
        <r>
          <rPr>
            <b/>
            <sz val="9"/>
            <color indexed="81"/>
            <rFont val="Tahoma"/>
            <family val="2"/>
          </rPr>
          <t>KA:</t>
        </r>
        <r>
          <rPr>
            <sz val="9"/>
            <color indexed="81"/>
            <rFont val="Tahoma"/>
            <family val="2"/>
          </rPr>
          <t xml:space="preserve">
Slowly increasing, I am continuing this trend.</t>
        </r>
      </text>
    </comment>
    <comment ref="I48" authorId="0" shapeId="0" xr:uid="{F684A447-342B-4D97-92E9-D2B6B3A012EA}">
      <text>
        <r>
          <rPr>
            <b/>
            <sz val="9"/>
            <color indexed="81"/>
            <rFont val="Tahoma"/>
            <family val="2"/>
          </rPr>
          <t>KA:</t>
        </r>
        <r>
          <rPr>
            <sz val="9"/>
            <color indexed="81"/>
            <rFont val="Tahoma"/>
            <family val="2"/>
          </rPr>
          <t xml:space="preserve">
DPO is lumpy because COGS can swing a lot. This happens due to Wingstop's franchise model. I've left this to a long-term baseline of 35.</t>
        </r>
      </text>
    </comment>
    <comment ref="D51" authorId="0" shapeId="0" xr:uid="{1B153906-DF7D-4515-9F1A-4090507F2EA6}">
      <text>
        <r>
          <rPr>
            <b/>
            <sz val="9"/>
            <color indexed="81"/>
            <rFont val="Tahoma"/>
            <family val="2"/>
          </rPr>
          <t xml:space="preserve">KA:
</t>
        </r>
        <r>
          <rPr>
            <sz val="9"/>
            <color indexed="81"/>
            <rFont val="Tahoma"/>
            <family val="2"/>
          </rPr>
          <t xml:space="preserve">Wingstop discloses the Ad Fund rate, however this cannot be factored into the balance sheet projection since the amount of the fund which is spent changes every year. Will be kept as % of revenue.
</t>
        </r>
      </text>
    </comment>
    <comment ref="I51" authorId="0" shapeId="0" xr:uid="{2EDD57CC-8F40-448A-8801-F37CD69E1004}">
      <text>
        <r>
          <rPr>
            <b/>
            <sz val="9"/>
            <color indexed="81"/>
            <rFont val="Tahoma"/>
            <family val="2"/>
          </rPr>
          <t>KA:</t>
        </r>
        <r>
          <rPr>
            <sz val="9"/>
            <color indexed="81"/>
            <rFont val="Tahoma"/>
            <family val="2"/>
          </rPr>
          <t xml:space="preserve">
$WING has an ad fund, but it's not possible to project how much of that they spend each year. Therefore, I'm keeping a simple projection that's scaled down for sanity.</t>
        </r>
      </text>
    </comment>
    <comment ref="K52" authorId="0" shapeId="0" xr:uid="{EAAAB9C6-C347-4651-91BF-00946476A5A4}">
      <text>
        <r>
          <rPr>
            <b/>
            <sz val="9"/>
            <color indexed="81"/>
            <rFont val="Tahoma"/>
            <family val="2"/>
          </rPr>
          <t>KA:</t>
        </r>
        <r>
          <rPr>
            <sz val="9"/>
            <color indexed="81"/>
            <rFont val="Tahoma"/>
            <family val="2"/>
          </rPr>
          <t xml:space="preserve">
Healthy scaledown for sanity.</t>
        </r>
      </text>
    </comment>
    <comment ref="I54" authorId="0" shapeId="0" xr:uid="{F2FFB9B0-5FC5-4D4C-B3BA-CE6E8C72E34D}">
      <text>
        <r>
          <rPr>
            <b/>
            <sz val="9"/>
            <color indexed="81"/>
            <rFont val="Tahoma"/>
            <family val="2"/>
          </rPr>
          <t>KA:</t>
        </r>
        <r>
          <rPr>
            <sz val="9"/>
            <color indexed="81"/>
            <rFont val="Tahoma"/>
            <family val="2"/>
          </rPr>
          <t xml:space="preserve">
Capex should not expand materially higher than this. Wingstop has put most focus on growing their earnings base and, through an asset light model, largely been able to avoid large capex figures. I expect the ratio to decrease over time. Capex also cannot be projected using unit growth as franchises pay for costs</t>
        </r>
      </text>
    </comment>
    <comment ref="J54" authorId="0" shapeId="0" xr:uid="{9E3378E7-3B2A-44E9-A724-6BF91EC14985}">
      <text>
        <r>
          <rPr>
            <b/>
            <sz val="9"/>
            <color indexed="81"/>
            <rFont val="Tahoma"/>
            <family val="2"/>
          </rPr>
          <t>KA:</t>
        </r>
        <r>
          <rPr>
            <sz val="9"/>
            <color indexed="81"/>
            <rFont val="Tahoma"/>
            <family val="2"/>
          </rPr>
          <t xml:space="preserve">
Healthy scaledown to maintain sanity.</t>
        </r>
      </text>
    </comment>
    <comment ref="I55" authorId="0" shapeId="0" xr:uid="{014994FD-DAD4-4090-B246-BB543B27E1DE}">
      <text>
        <r>
          <rPr>
            <b/>
            <sz val="9"/>
            <color indexed="81"/>
            <rFont val="Tahoma"/>
            <family val="2"/>
          </rPr>
          <t>KA:</t>
        </r>
        <r>
          <rPr>
            <sz val="9"/>
            <color indexed="81"/>
            <rFont val="Tahoma"/>
            <family val="2"/>
          </rPr>
          <t xml:space="preserve">
Healthy scaledown for sanity</t>
        </r>
      </text>
    </comment>
    <comment ref="I56" authorId="0" shapeId="0" xr:uid="{38E52126-0831-475C-A559-2EB69A4F0520}">
      <text>
        <r>
          <rPr>
            <b/>
            <sz val="9"/>
            <color indexed="81"/>
            <rFont val="Tahoma"/>
            <family val="2"/>
          </rPr>
          <t>KA:</t>
        </r>
        <r>
          <rPr>
            <sz val="9"/>
            <color indexed="81"/>
            <rFont val="Tahoma"/>
            <family val="2"/>
          </rPr>
          <t xml:space="preserve">
Healthy scaledown for sanity</t>
        </r>
      </text>
    </comment>
    <comment ref="I57" authorId="0" shapeId="0" xr:uid="{2917018E-59B3-4880-81F9-5D348C8FFADF}">
      <text>
        <r>
          <rPr>
            <b/>
            <sz val="9"/>
            <color indexed="81"/>
            <rFont val="Tahoma"/>
            <family val="2"/>
          </rPr>
          <t xml:space="preserve">KA:
</t>
        </r>
        <r>
          <rPr>
            <sz val="9"/>
            <color indexed="81"/>
            <rFont val="Tahoma"/>
            <family val="2"/>
          </rPr>
          <t>Healthy scaledown for sanity</t>
        </r>
      </text>
    </comment>
    <comment ref="I58" authorId="0" shapeId="0" xr:uid="{DD433F9F-D4A5-47FA-AB5F-DF44155E683D}">
      <text>
        <r>
          <rPr>
            <b/>
            <sz val="9"/>
            <color indexed="81"/>
            <rFont val="Tahoma"/>
            <family val="2"/>
          </rPr>
          <t>KA:</t>
        </r>
        <r>
          <rPr>
            <sz val="9"/>
            <color indexed="81"/>
            <rFont val="Tahoma"/>
            <family val="2"/>
          </rPr>
          <t xml:space="preserve">
Healthy scaledown for sanity</t>
        </r>
      </text>
    </comment>
    <comment ref="I65" authorId="0" shapeId="0" xr:uid="{53C67CB2-5E10-4749-AF37-838F614A32DD}">
      <text>
        <r>
          <rPr>
            <b/>
            <sz val="9"/>
            <color indexed="81"/>
            <rFont val="Tahoma"/>
            <family val="2"/>
          </rPr>
          <t>KA:</t>
        </r>
        <r>
          <rPr>
            <sz val="9"/>
            <color indexed="81"/>
            <rFont val="Tahoma"/>
            <family val="2"/>
          </rPr>
          <t xml:space="preserve">
I added the measure of D&amp;A as a % of Total D&amp;A on the As Stated CFS. CapitalIQ does not specify if that only represents Depreication (since it has all the other figures of Amortization). This is the best the depreciation projection is going to get.</t>
        </r>
      </text>
    </comment>
    <comment ref="I66" authorId="0" shapeId="0" xr:uid="{3BC54260-008D-4759-B972-BB62B7D60A57}">
      <text>
        <r>
          <rPr>
            <b/>
            <sz val="9"/>
            <color indexed="81"/>
            <rFont val="Tahoma"/>
            <family val="2"/>
          </rPr>
          <t>KA:</t>
        </r>
        <r>
          <rPr>
            <sz val="9"/>
            <color indexed="81"/>
            <rFont val="Tahoma"/>
            <family val="2"/>
          </rPr>
          <t xml:space="preserve">
Not a projectable item. Keeping it at a long-term average to account for annual fluctuations.</t>
        </r>
      </text>
    </comment>
    <comment ref="D67" authorId="0" shapeId="0" xr:uid="{611A35B2-8C9C-44A2-BB3F-D9AB2E81AAAF}">
      <text>
        <r>
          <rPr>
            <b/>
            <sz val="9"/>
            <color indexed="81"/>
            <rFont val="Tahoma"/>
            <family val="2"/>
          </rPr>
          <t xml:space="preserve">KA:
</t>
        </r>
        <r>
          <rPr>
            <sz val="9"/>
            <color indexed="81"/>
            <rFont val="Tahoma"/>
            <family val="2"/>
          </rPr>
          <t xml:space="preserve">There are small discrepencies in the numbers if you were to calculate them. This is likely due to the dicrepency between depreciation and depreciation+amortization. Depreciation is not reported by itself.
</t>
        </r>
      </text>
    </comment>
    <comment ref="I73" authorId="0" shapeId="0" xr:uid="{85FF8A52-8372-4439-9E3A-4BD710EE2C60}">
      <text>
        <r>
          <rPr>
            <b/>
            <sz val="9"/>
            <color indexed="81"/>
            <rFont val="Tahoma"/>
            <family val="2"/>
          </rPr>
          <t>KA:</t>
        </r>
        <r>
          <rPr>
            <sz val="9"/>
            <color indexed="81"/>
            <rFont val="Tahoma"/>
            <family val="2"/>
          </rPr>
          <t xml:space="preserve">
In line with 1.2MM per year buybacks. Multiplied with $111 share price gets us here. Long-term it's hard to make a very accurate projection.</t>
        </r>
      </text>
    </comment>
    <comment ref="D74" authorId="0" shapeId="0" xr:uid="{4A1B3D57-2DAB-4B56-90F7-B25A57ABCE49}">
      <text>
        <r>
          <rPr>
            <b/>
            <sz val="9"/>
            <color indexed="81"/>
            <rFont val="Tahoma"/>
            <family val="2"/>
          </rPr>
          <t>KA:</t>
        </r>
        <r>
          <rPr>
            <sz val="9"/>
            <color indexed="81"/>
            <rFont val="Tahoma"/>
            <family val="2"/>
          </rPr>
          <t xml:space="preserve">
Some small discrepancies with the numbers when added up, but they paint the correct picture. Will keep these moving forward for the sake of simplicity.</t>
        </r>
      </text>
    </comment>
    <comment ref="J77" authorId="0" shapeId="0" xr:uid="{A11E10A1-0D73-4D2A-B169-1A055B836D49}">
      <text>
        <r>
          <rPr>
            <b/>
            <sz val="9"/>
            <color indexed="81"/>
            <rFont val="Tahoma"/>
            <family val="2"/>
          </rPr>
          <t>KA:</t>
        </r>
        <r>
          <rPr>
            <sz val="9"/>
            <color indexed="81"/>
            <rFont val="Tahoma"/>
            <family val="2"/>
          </rPr>
          <t xml:space="preserve">
Wingstop repurchased 1.2MM shares last year. I'm assuming a long-term continutation of this.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PARAM</author>
  </authors>
  <commentList>
    <comment ref="G26" authorId="0" shapeId="0" xr:uid="{B396DAF5-81DF-4449-B8F5-B4F84CCCB820}">
      <text>
        <r>
          <rPr>
            <b/>
            <sz val="9"/>
            <color indexed="81"/>
            <rFont val="Tahoma"/>
            <family val="2"/>
          </rPr>
          <t>KA:</t>
        </r>
        <r>
          <rPr>
            <sz val="9"/>
            <color indexed="81"/>
            <rFont val="Tahoma"/>
            <family val="2"/>
          </rPr>
          <t xml:space="preserve">
Excludes CAVA as extreme outlier</t>
        </r>
      </text>
    </comment>
    <comment ref="B34" authorId="0" shapeId="0" xr:uid="{8DA220C7-4C4B-4C78-838C-91EB4D11C4E1}">
      <text>
        <r>
          <rPr>
            <b/>
            <sz val="9"/>
            <color indexed="81"/>
            <rFont val="Tahoma"/>
            <family val="2"/>
          </rPr>
          <t>KA:</t>
        </r>
        <r>
          <rPr>
            <sz val="9"/>
            <color indexed="81"/>
            <rFont val="Tahoma"/>
            <family val="2"/>
          </rPr>
          <t xml:space="preserve">
Using Basic EPS since that corresponds directly to equity value. Diluted is technically not what common stock investors are getting.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PARAM</author>
  </authors>
  <commentList>
    <comment ref="E8" authorId="0" shapeId="0" xr:uid="{70546CA3-23B7-4280-B15C-3D800D94D632}">
      <text>
        <r>
          <rPr>
            <b/>
            <sz val="9"/>
            <color indexed="81"/>
            <rFont val="Tahoma"/>
            <family val="2"/>
          </rPr>
          <t>KA:</t>
        </r>
        <r>
          <rPr>
            <sz val="9"/>
            <color indexed="81"/>
            <rFont val="Tahoma"/>
            <family val="2"/>
          </rPr>
          <t xml:space="preserve">
Assuming 6.0% for 2027 on the back of higher yields. Assuming slightly lower for 2029 as tensions cool down</t>
        </r>
      </text>
    </comment>
    <comment ref="F13" authorId="0" shapeId="0" xr:uid="{1A0F13F6-5A1B-43A1-81E8-2B8A6E1A837A}">
      <text>
        <r>
          <rPr>
            <b/>
            <sz val="9"/>
            <color indexed="81"/>
            <rFont val="Tahoma"/>
            <family val="2"/>
          </rPr>
          <t>KA:</t>
        </r>
        <r>
          <rPr>
            <sz val="9"/>
            <color indexed="81"/>
            <rFont val="Tahoma"/>
            <family val="2"/>
          </rPr>
          <t xml:space="preserve">
Common for Wingstop to refinance their debt. They've done it in the past to avoid full principal repayment date. If not, cash would go negative.</t>
        </r>
      </text>
    </comment>
    <comment ref="E27" authorId="0" shapeId="0" xr:uid="{703AFE2B-42EA-433D-AEFB-931D445DD235}">
      <text>
        <r>
          <rPr>
            <b/>
            <sz val="9"/>
            <color indexed="81"/>
            <rFont val="Tahoma"/>
            <family val="2"/>
          </rPr>
          <t>KA:</t>
        </r>
        <r>
          <rPr>
            <sz val="9"/>
            <color indexed="81"/>
            <rFont val="Tahoma"/>
            <family val="2"/>
          </rPr>
          <t xml:space="preserve">
Mature in December, so even though ending balance is 0, interest is still paid</t>
        </r>
      </text>
    </comment>
    <comment ref="D34" authorId="0" shapeId="0" xr:uid="{B66377B3-E333-4CFF-A940-FFF34C41B440}">
      <text>
        <r>
          <rPr>
            <b/>
            <sz val="9"/>
            <color indexed="81"/>
            <rFont val="Tahoma"/>
            <family val="2"/>
          </rPr>
          <t>KA:</t>
        </r>
        <r>
          <rPr>
            <sz val="9"/>
            <color indexed="81"/>
            <rFont val="Tahoma"/>
            <family val="2"/>
          </rPr>
          <t xml:space="preserve">
Roughly in-line with management guidance</t>
        </r>
      </text>
    </comment>
    <comment ref="E34" authorId="0" shapeId="0" xr:uid="{B78E3E3D-4A2B-4C42-BB74-EB3A0DD3FF73}">
      <text>
        <r>
          <rPr>
            <b/>
            <sz val="9"/>
            <color indexed="81"/>
            <rFont val="Tahoma"/>
            <family val="2"/>
          </rPr>
          <t>KA:</t>
        </r>
        <r>
          <rPr>
            <sz val="9"/>
            <color indexed="81"/>
            <rFont val="Tahoma"/>
            <family val="2"/>
          </rPr>
          <t xml:space="preserve">
Kept constant for simplicity. Can't tell how interest rates are going to look in the future. Also cannot link to cash since circular formula would disrupt model.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PARAM</author>
  </authors>
  <commentList>
    <comment ref="I7" authorId="0" shapeId="0" xr:uid="{0B819C45-38CA-459C-A481-8016CB378441}">
      <text>
        <r>
          <rPr>
            <b/>
            <sz val="9"/>
            <color indexed="81"/>
            <rFont val="Tahoma"/>
            <family val="2"/>
          </rPr>
          <t>KA:</t>
        </r>
        <r>
          <rPr>
            <sz val="9"/>
            <color indexed="81"/>
            <rFont val="Tahoma"/>
            <family val="2"/>
          </rPr>
          <t xml:space="preserve">
Better bone-in wing costs have driven higher margins. This is in-line with guidance</t>
        </r>
      </text>
    </comment>
    <comment ref="J7" authorId="0" shapeId="0" xr:uid="{5B6E9187-60B9-48AC-9C75-A99DB5520AC6}">
      <text>
        <r>
          <rPr>
            <b/>
            <sz val="9"/>
            <color indexed="81"/>
            <rFont val="Tahoma"/>
            <family val="2"/>
          </rPr>
          <t>KA:</t>
        </r>
        <r>
          <rPr>
            <sz val="9"/>
            <color indexed="81"/>
            <rFont val="Tahoma"/>
            <family val="2"/>
          </rPr>
          <t xml:space="preserve">
Margin expansion thesis supported by growing fee revenue from franchises. As units expand, more fees are collected and spread over the cost base without contributing to costs.
Assuming 30bp expansion into 2030, modest compared to past performance.</t>
        </r>
      </text>
    </comment>
    <comment ref="M7" authorId="0" shapeId="0" xr:uid="{14853636-4F02-4F4A-A818-F6E28019A110}">
      <text>
        <r>
          <rPr>
            <b/>
            <sz val="9"/>
            <color indexed="81"/>
            <rFont val="Tahoma"/>
            <family val="2"/>
          </rPr>
          <t>KA:</t>
        </r>
        <r>
          <rPr>
            <sz val="9"/>
            <color indexed="81"/>
            <rFont val="Tahoma"/>
            <family val="2"/>
          </rPr>
          <t xml:space="preserve">
Keeping last year constant for sanity. Don't want to inflate margins too heavily.</t>
        </r>
      </text>
    </comment>
    <comment ref="I14" authorId="0" shapeId="0" xr:uid="{13C4DABB-3E8D-4119-8504-EEC641EA6E41}">
      <text>
        <r>
          <rPr>
            <b/>
            <sz val="9"/>
            <color indexed="81"/>
            <rFont val="Tahoma"/>
            <family val="2"/>
          </rPr>
          <t>KA:</t>
        </r>
        <r>
          <rPr>
            <sz val="9"/>
            <color indexed="81"/>
            <rFont val="Tahoma"/>
            <family val="2"/>
          </rPr>
          <t xml:space="preserve">
In line with full-year guidance</t>
        </r>
      </text>
    </comment>
    <comment ref="J14" authorId="0" shapeId="0" xr:uid="{1327D37E-0527-4A1D-A431-EDFD2F9A09DE}">
      <text>
        <r>
          <rPr>
            <b/>
            <sz val="9"/>
            <color indexed="81"/>
            <rFont val="Tahoma"/>
            <family val="2"/>
          </rPr>
          <t xml:space="preserve">KA:
</t>
        </r>
        <r>
          <rPr>
            <sz val="9"/>
            <color indexed="81"/>
            <rFont val="Tahoma"/>
            <family val="2"/>
          </rPr>
          <t>Projecting modest 20bp margin growth. This is in line with recent trends and current guidance. Keeping expansion constant</t>
        </r>
      </text>
    </comment>
    <comment ref="M14" authorId="0" shapeId="0" xr:uid="{F164D809-7BE2-444E-80C0-583DA6C17A38}">
      <text>
        <r>
          <rPr>
            <b/>
            <sz val="9"/>
            <color indexed="81"/>
            <rFont val="Tahoma"/>
            <family val="2"/>
          </rPr>
          <t>KA:</t>
        </r>
        <r>
          <rPr>
            <sz val="9"/>
            <color indexed="81"/>
            <rFont val="Tahoma"/>
            <family val="2"/>
          </rPr>
          <t xml:space="preserve">
Same reasoning as Cell M32</t>
        </r>
      </text>
    </comment>
  </commentList>
</comments>
</file>

<file path=xl/sharedStrings.xml><?xml version="1.0" encoding="utf-8"?>
<sst xmlns="http://schemas.openxmlformats.org/spreadsheetml/2006/main" count="528" uniqueCount="300">
  <si>
    <t>Cover</t>
  </si>
  <si>
    <t>Income Statement</t>
  </si>
  <si>
    <t>Wingstop Restaurants Inc.</t>
  </si>
  <si>
    <t>Revenue Buildout</t>
  </si>
  <si>
    <t>Balance Sheet</t>
  </si>
  <si>
    <t>Cash Flow Statement (As Stated)</t>
  </si>
  <si>
    <t>Cash Flow Statement (Manual)</t>
  </si>
  <si>
    <t>WACC</t>
  </si>
  <si>
    <t>Comps</t>
  </si>
  <si>
    <t>DCF</t>
  </si>
  <si>
    <t>Debt Waterfall</t>
  </si>
  <si>
    <t>Beta Calculation</t>
  </si>
  <si>
    <t>Case</t>
  </si>
  <si>
    <t>USD($) in thousands</t>
  </si>
  <si>
    <t>Net Sales</t>
  </si>
  <si>
    <t>% Growth</t>
  </si>
  <si>
    <t>-</t>
  </si>
  <si>
    <t>Royalty revenue, franchise fees and other</t>
  </si>
  <si>
    <t>Advertising fees</t>
  </si>
  <si>
    <t>Company-owned restaurant sales</t>
  </si>
  <si>
    <t>Disaggregated Revenue</t>
  </si>
  <si>
    <t>% Change</t>
  </si>
  <si>
    <t>Bear</t>
  </si>
  <si>
    <t>Base</t>
  </si>
  <si>
    <t>Bull</t>
  </si>
  <si>
    <t>Step:</t>
  </si>
  <si>
    <t>Cost of Goods Sold</t>
  </si>
  <si>
    <t>Gross Profit</t>
  </si>
  <si>
    <t>Operating Expenses:</t>
  </si>
  <si>
    <t>Advertising expenses</t>
  </si>
  <si>
    <t>Selling, general &amp; administrative</t>
  </si>
  <si>
    <t>Depreciation and amortization</t>
  </si>
  <si>
    <t>Loss on disposal of assets</t>
  </si>
  <si>
    <t>Operating Income (EBIT)</t>
  </si>
  <si>
    <t>Interest expense, net</t>
  </si>
  <si>
    <t>Loss on debt extinguishment and financing transactions</t>
  </si>
  <si>
    <t>Income before income tax expense (EBT)</t>
  </si>
  <si>
    <t>Income tax expense</t>
  </si>
  <si>
    <t>Net Income</t>
  </si>
  <si>
    <t>% Margin</t>
  </si>
  <si>
    <t>Other investment (income) expense</t>
  </si>
  <si>
    <t>EBITDA</t>
  </si>
  <si>
    <t>Cost Projections</t>
  </si>
  <si>
    <t>Cost of goods sold</t>
  </si>
  <si>
    <t>Assets</t>
  </si>
  <si>
    <t>Total assets</t>
  </si>
  <si>
    <t>Liabilities and stockholders' deficit</t>
  </si>
  <si>
    <t>Current liabilities</t>
  </si>
  <si>
    <t>Total liabilities</t>
  </si>
  <si>
    <t>Stockholders' deficit</t>
  </si>
  <si>
    <t>Total liabilities and stockholders' deficit</t>
  </si>
  <si>
    <t>Cash and cash equivalents</t>
  </si>
  <si>
    <t>Restricted cash</t>
  </si>
  <si>
    <t>Accounts receivable, net</t>
  </si>
  <si>
    <t>Prepaid expenses and other current assets</t>
  </si>
  <si>
    <t>Advertising fund assets, restricted</t>
  </si>
  <si>
    <t>Total current assets</t>
  </si>
  <si>
    <t>Property and equipment, net</t>
  </si>
  <si>
    <t>Operating lease assets</t>
  </si>
  <si>
    <t>Goodwill</t>
  </si>
  <si>
    <t>Trademarks</t>
  </si>
  <si>
    <t>Customer relationships, net</t>
  </si>
  <si>
    <t>Investments</t>
  </si>
  <si>
    <t>Other non-current assets, net</t>
  </si>
  <si>
    <t>Accounts payable</t>
  </si>
  <si>
    <t>Current portion of operating lease liabilities</t>
  </si>
  <si>
    <t>Other current liabilities</t>
  </si>
  <si>
    <t>Current portion of debt</t>
  </si>
  <si>
    <t>Advertising fund liabilities</t>
  </si>
  <si>
    <t>Total current liabilities</t>
  </si>
  <si>
    <t>Long-term debt, net</t>
  </si>
  <si>
    <t>Operating lease liabilities</t>
  </si>
  <si>
    <t>Deferred revenues, net of current</t>
  </si>
  <si>
    <t>Deferred income tax liabilities, net</t>
  </si>
  <si>
    <t>Other non-current liabilities</t>
  </si>
  <si>
    <t>Common stock</t>
  </si>
  <si>
    <t>Additional paid-in capital</t>
  </si>
  <si>
    <t>Retained deficit</t>
  </si>
  <si>
    <t>Accumulated other comprehensive income (loss)</t>
  </si>
  <si>
    <t>Total stockholders' deficit</t>
  </si>
  <si>
    <t>Balance Check</t>
  </si>
  <si>
    <t>Balance Sheet Projections</t>
  </si>
  <si>
    <t>Revenue</t>
  </si>
  <si>
    <t>DSO</t>
  </si>
  <si>
    <t>DPO</t>
  </si>
  <si>
    <t>Advertising fund assets/liabilities</t>
  </si>
  <si>
    <t xml:space="preserve"> </t>
  </si>
  <si>
    <t>Depreciation &amp; Amort.</t>
  </si>
  <si>
    <t>Amort. of Goodwill and Intangibles</t>
  </si>
  <si>
    <t>Depreciation &amp; Amort., Total</t>
  </si>
  <si>
    <t>Other Amortization</t>
  </si>
  <si>
    <t>(Gain) Loss From Sale Of Assets</t>
  </si>
  <si>
    <t>(Gain) Loss On Sale Of Invest.</t>
  </si>
  <si>
    <t>Stock-Based Compensation</t>
  </si>
  <si>
    <t>Other Operating Activities</t>
  </si>
  <si>
    <t>Change in Acc. Receivable</t>
  </si>
  <si>
    <t>Change in Acc. Payable</t>
  </si>
  <si>
    <t>Change in Unearned Rev.</t>
  </si>
  <si>
    <t>Change in Other Net Operating Assets</t>
  </si>
  <si>
    <t xml:space="preserve">  Cash from Ops.</t>
  </si>
  <si>
    <t>Capital Expenditure</t>
  </si>
  <si>
    <t>Sale of Property, Plant, and Equipment</t>
  </si>
  <si>
    <t>Cash Acquisitions</t>
  </si>
  <si>
    <t>Divestitures</t>
  </si>
  <si>
    <t>Invest. in Marketable &amp; Equity Securt.</t>
  </si>
  <si>
    <t>Net (Inc.) Dec. in Loans Originated/Sold</t>
  </si>
  <si>
    <t>Other Investing Activities</t>
  </si>
  <si>
    <t xml:space="preserve">  Cash from Investing</t>
  </si>
  <si>
    <t>Short Term Debt Issued</t>
  </si>
  <si>
    <t>Long-Term Debt Issued</t>
  </si>
  <si>
    <t>Total Debt Issued</t>
  </si>
  <si>
    <t>Short Term Debt Repaid</t>
  </si>
  <si>
    <t>Long-Term Debt Repaid</t>
  </si>
  <si>
    <t>Total Debt Repaid</t>
  </si>
  <si>
    <t>Issuance of Common Stock</t>
  </si>
  <si>
    <t>Repurchase of Common Stock</t>
  </si>
  <si>
    <t>Common Dividends Paid</t>
  </si>
  <si>
    <t>Total Dividends Paid</t>
  </si>
  <si>
    <t>Special Dividend Paid</t>
  </si>
  <si>
    <t>Other Financing Activities</t>
  </si>
  <si>
    <t xml:space="preserve">  Cash from Financing</t>
  </si>
  <si>
    <t xml:space="preserve">  Net Change in Cash</t>
  </si>
  <si>
    <t>PP&amp;E Projections</t>
  </si>
  <si>
    <t>Beginning PP&amp;E</t>
  </si>
  <si>
    <t>(+) Capex</t>
  </si>
  <si>
    <t>(-) Depreciation</t>
  </si>
  <si>
    <t>(-) Sale of PP&amp;E</t>
  </si>
  <si>
    <t>---</t>
  </si>
  <si>
    <t>Ending PP&amp;E</t>
  </si>
  <si>
    <t>Depreciation as a % of Total D&amp;A</t>
  </si>
  <si>
    <t>Debt Schedule</t>
  </si>
  <si>
    <t>Debt Summary</t>
  </si>
  <si>
    <t>Principal</t>
  </si>
  <si>
    <t>Interest Rate</t>
  </si>
  <si>
    <t>Type of Rate</t>
  </si>
  <si>
    <t>Fixed</t>
  </si>
  <si>
    <t>2020-1 Class A-2 Senior Secured Notes due December 2027</t>
  </si>
  <si>
    <t>2022-1 Class A-2 Senior Secured Notes due March 2029</t>
  </si>
  <si>
    <t>2024-1 Class A-2 Senior Secured Notes due December 2031</t>
  </si>
  <si>
    <t>Interest Payments</t>
  </si>
  <si>
    <t>Interest Rates</t>
  </si>
  <si>
    <t>Total Interest Expense</t>
  </si>
  <si>
    <t>Debt Principal Balances Remaining</t>
  </si>
  <si>
    <t>Total Long-term Debt</t>
  </si>
  <si>
    <t>Retained Earnings (Deficit)</t>
  </si>
  <si>
    <t>Beginning Retained Earnings (Deficit)</t>
  </si>
  <si>
    <t>(+) Net Income</t>
  </si>
  <si>
    <t>(-) Dividends</t>
  </si>
  <si>
    <t>(-) Buybacks</t>
  </si>
  <si>
    <t>Ending Retained Earnings (Deficit)</t>
  </si>
  <si>
    <t>Dividend/Share</t>
  </si>
  <si>
    <t>Outstanding Shares</t>
  </si>
  <si>
    <t>Dividends Paid</t>
  </si>
  <si>
    <t>Changes in Working Capital:</t>
  </si>
  <si>
    <t>Operating Activities:</t>
  </si>
  <si>
    <t>Change in Operating Cash Flow:</t>
  </si>
  <si>
    <t>Cash Flow from Investing Activities</t>
  </si>
  <si>
    <t>Cash Flow from Operating Activities</t>
  </si>
  <si>
    <t>PP&amp;E</t>
  </si>
  <si>
    <t>Change in Investing Cash Flow:</t>
  </si>
  <si>
    <t>Cash Flow from Financing Activities</t>
  </si>
  <si>
    <t>Change in Financing Cash Flow</t>
  </si>
  <si>
    <t>Beginning Cash</t>
  </si>
  <si>
    <t>Change in Cash</t>
  </si>
  <si>
    <t>Ending Cash</t>
  </si>
  <si>
    <t>Risk Free Rate</t>
  </si>
  <si>
    <t>Beta</t>
  </si>
  <si>
    <t>Market Risk Premium</t>
  </si>
  <si>
    <t>Cost of Equity</t>
  </si>
  <si>
    <t>Interest Expense</t>
  </si>
  <si>
    <t>Total Debt</t>
  </si>
  <si>
    <t>Tax Rate</t>
  </si>
  <si>
    <t>Cost of Debt</t>
  </si>
  <si>
    <t>Total Equity</t>
  </si>
  <si>
    <t>Capital Structure</t>
  </si>
  <si>
    <t xml:space="preserve">Weight of Equity </t>
  </si>
  <si>
    <t>Weight of Debt</t>
  </si>
  <si>
    <t>Company Name</t>
  </si>
  <si>
    <t>Market Capitalization Latest</t>
  </si>
  <si>
    <t>Total Enterprise Value Latest</t>
  </si>
  <si>
    <t>CAVA Group, Inc. (NYSE:CAVA)</t>
  </si>
  <si>
    <t>Dutch Bros Inc. (NYSE:BROS)</t>
  </si>
  <si>
    <t>The Wendy's Company (NasdaqGS:WEN)</t>
  </si>
  <si>
    <t>Dine Brands Global, Inc. (NYSE:DIN)</t>
  </si>
  <si>
    <t>Brinker International, Inc. (NYSE:EAT)</t>
  </si>
  <si>
    <t>Jack in the Box Inc. (NasdaqGS:JACK)</t>
  </si>
  <si>
    <t>The Cheesecake Factory Incorporated (NasdaqGS:CAKE)</t>
  </si>
  <si>
    <t>Papa John's International, Inc. (NasdaqGS:PZZA)</t>
  </si>
  <si>
    <t>Darden Restaurants, Inc. (NYSE:DRI)</t>
  </si>
  <si>
    <t>Domino's Pizza, Inc. (NasdaqGS:DPZ)</t>
  </si>
  <si>
    <t>Texas Roadhouse, Inc. (NasdaqGS:TXRH)</t>
  </si>
  <si>
    <t>Bloomin' Brands, Inc. (NasdaqGS:BLMN)</t>
  </si>
  <si>
    <t>Shake Shack Inc. (NYSE:SHAK)</t>
  </si>
  <si>
    <t>Wingstop Inc. (NasdaqGS:WING)</t>
  </si>
  <si>
    <t>TEV/Total Revenues LTM - Latest</t>
  </si>
  <si>
    <t>TEV/EBITDA LTM - Latest</t>
  </si>
  <si>
    <t>Mean</t>
  </si>
  <si>
    <t>Median</t>
  </si>
  <si>
    <t>Max</t>
  </si>
  <si>
    <t>Min</t>
  </si>
  <si>
    <t>Amongst Main Comps</t>
  </si>
  <si>
    <t>Comparable P/E Valuation</t>
  </si>
  <si>
    <t>P/E Multiple</t>
  </si>
  <si>
    <t>Equity Value</t>
  </si>
  <si>
    <t>Shares Outstanding</t>
  </si>
  <si>
    <t>Implied Share Price</t>
  </si>
  <si>
    <t>Current Share Price</t>
  </si>
  <si>
    <t>Implied Upside (Downside)</t>
  </si>
  <si>
    <t>Basic EPS</t>
  </si>
  <si>
    <t>Diluted EPS</t>
  </si>
  <si>
    <t>Basic Weighted Average Shares</t>
  </si>
  <si>
    <t>Diluted Weighted Average Shares</t>
  </si>
  <si>
    <t>Royalty revenue, franchise fees and other Projection</t>
  </si>
  <si>
    <t>SSS Growth</t>
  </si>
  <si>
    <t>New Unit Growth</t>
  </si>
  <si>
    <t>Fees per new unit</t>
  </si>
  <si>
    <t>6% Royalty Fee</t>
  </si>
  <si>
    <t>AUV</t>
  </si>
  <si>
    <t>Ramp-up</t>
  </si>
  <si>
    <t>Total Units</t>
  </si>
  <si>
    <t>Total Revenue</t>
  </si>
  <si>
    <t>Systemwide Sales</t>
  </si>
  <si>
    <t>Domestic</t>
  </si>
  <si>
    <t>International</t>
  </si>
  <si>
    <t>Domestic AUV</t>
  </si>
  <si>
    <t>International AUV</t>
  </si>
  <si>
    <t>Advertising Fees</t>
  </si>
  <si>
    <t>Domestic System Sales</t>
  </si>
  <si>
    <t>Ad Fund Contribution</t>
  </si>
  <si>
    <t>PEG Ratio</t>
  </si>
  <si>
    <t>Comparable EV/EBITDA Valuation</t>
  </si>
  <si>
    <t>EV/EBITDA Multiple</t>
  </si>
  <si>
    <t>Enterprise Value</t>
  </si>
  <si>
    <t>(-) Debt</t>
  </si>
  <si>
    <t>(+) Cash</t>
  </si>
  <si>
    <t>Dividend Yield</t>
  </si>
  <si>
    <t>Units</t>
  </si>
  <si>
    <t>New Units</t>
  </si>
  <si>
    <t>Ramp Up</t>
  </si>
  <si>
    <t>P/E</t>
  </si>
  <si>
    <t>EV/EBITDA</t>
  </si>
  <si>
    <t>NOPAT</t>
  </si>
  <si>
    <t>(-) CapEx</t>
  </si>
  <si>
    <t>(+) D&amp;A</t>
  </si>
  <si>
    <t>(-) Changes in NWC</t>
  </si>
  <si>
    <t>Working Capital</t>
  </si>
  <si>
    <t>Current Assets</t>
  </si>
  <si>
    <t>(-) Current Liabilities</t>
  </si>
  <si>
    <t>Change in Working Capital</t>
  </si>
  <si>
    <t>Unlevered Free Cash Flow</t>
  </si>
  <si>
    <t>Discount</t>
  </si>
  <si>
    <t>Discount Factor</t>
  </si>
  <si>
    <t>Net Present Value of UFCF</t>
  </si>
  <si>
    <t>Exit Multiple Method</t>
  </si>
  <si>
    <t>EBITDA Multiple</t>
  </si>
  <si>
    <t>Terminal Value</t>
  </si>
  <si>
    <t>PV of TV</t>
  </si>
  <si>
    <t>PV of UFCF</t>
  </si>
  <si>
    <t>Perpetuity Growth</t>
  </si>
  <si>
    <t>Growth Rate</t>
  </si>
  <si>
    <t>Price Target</t>
  </si>
  <si>
    <t>Historical Beta</t>
  </si>
  <si>
    <t>S&amp;P 500</t>
  </si>
  <si>
    <t>S&amp;P 500 Cons. Disc.</t>
  </si>
  <si>
    <t>Wingstop</t>
  </si>
  <si>
    <t>Weighted Price Target</t>
  </si>
  <si>
    <t>Company WACC</t>
  </si>
  <si>
    <t>Capex a % of Revenue</t>
  </si>
  <si>
    <t>Current Price</t>
  </si>
  <si>
    <t>December 2027 assumed Refinancing</t>
  </si>
  <si>
    <t>March 2029 assumed Refinancing</t>
  </si>
  <si>
    <t>Operating Working Capital</t>
  </si>
  <si>
    <t>Interest Expense, net</t>
  </si>
  <si>
    <t>Interest Income (Estimated) on Cash</t>
  </si>
  <si>
    <t>Cash Flow Statement via Capital IQ</t>
  </si>
  <si>
    <t>WING</t>
  </si>
  <si>
    <t>P/E Ratio</t>
  </si>
  <si>
    <t>Comparable Company Analysis (8/10/26) - Many According to Capital IQ</t>
  </si>
  <si>
    <t>2026E EPS</t>
  </si>
  <si>
    <t>2026E EBITDA</t>
  </si>
  <si>
    <t>Cons. Disc</t>
  </si>
  <si>
    <t>BUY</t>
  </si>
  <si>
    <t>HOLD</t>
  </si>
  <si>
    <t>Date</t>
  </si>
  <si>
    <t>Close </t>
  </si>
  <si>
    <t>Volume</t>
  </si>
  <si>
    <t>Graphs</t>
  </si>
  <si>
    <t>Financial Projections</t>
  </si>
  <si>
    <t>Financial Projection</t>
  </si>
  <si>
    <t>COGS</t>
  </si>
  <si>
    <t>SG&amp;A</t>
  </si>
  <si>
    <t>Revenue Forecast</t>
  </si>
  <si>
    <t>Operating Margins</t>
  </si>
  <si>
    <t>Net Margins</t>
  </si>
  <si>
    <t>Corporate Revenue</t>
  </si>
  <si>
    <t>Current Stores</t>
  </si>
  <si>
    <t>Current + Committed Pipeline</t>
  </si>
  <si>
    <t>Long-term Target</t>
  </si>
  <si>
    <t>Ad Fund</t>
  </si>
  <si>
    <t>Collection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</si>
</sst>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7" formatCode="&quot;$&quot;#,##0.00_);\(&quot;$&quot;#,##0.00\)"/>
    <numFmt numFmtId="8" formatCode="&quot;$&quot;#,##0.00_);[Red]\(&quot;$&quot;#,##0.00\)"/>
    <numFmt numFmtId="164" formatCode="0&quot;A&quot;"/>
    <numFmt numFmtId="165" formatCode="0&quot;E&quot;"/>
    <numFmt numFmtId="166" formatCode="0.00%;\(0.00%\)"/>
    <numFmt numFmtId="167" formatCode="#,##0;\(#,##0\);\-"/>
    <numFmt numFmtId="168" formatCode="_(* #,##0.0_);_(* \(#,##0.0\)_)\ ;_(* 0_)"/>
    <numFmt numFmtId="169" formatCode="0.000%"/>
    <numFmt numFmtId="170" formatCode="0.0000%"/>
    <numFmt numFmtId="171" formatCode="_(\ #,##0.0_);_(\ \(#,##0.0\)_);_(\ &quot; - &quot;_)"/>
    <numFmt numFmtId="172" formatCode="#,##0.0\x"/>
    <numFmt numFmtId="173" formatCode="#,##0.00\x"/>
    <numFmt numFmtId="174" formatCode="0.0&quot;x&quot;"/>
    <numFmt numFmtId="175" formatCode="0.0%;\(0.0%\)"/>
    <numFmt numFmtId="176" formatCode="&quot;$&quot;#,##0.00"/>
    <numFmt numFmtId="177" formatCode="&quot;$&quot;#,##0"/>
    <numFmt numFmtId="178" formatCode="00000"/>
    <numFmt numFmtId="179" formatCode="_([$$-409]* #,##0.00_);_([$$-409]* \(#,##0.00\);_([$$-409]* &quot;-&quot;??_);_(@_)"/>
    <numFmt numFmtId="180" formatCode="0000&quot;A&quot;"/>
    <numFmt numFmtId="181" formatCode="0000&quot;E&quot;"/>
  </numFmts>
  <fonts count="63" x14ac:knownFonts="1">
    <font>
      <sz val="11"/>
      <color theme="1"/>
      <name val="Aptos Narrow"/>
      <family val="2"/>
      <scheme val="minor"/>
    </font>
    <font>
      <b/>
      <sz val="11"/>
      <color theme="0"/>
      <name val="Aptos Narrow"/>
      <family val="2"/>
      <scheme val="minor"/>
    </font>
    <font>
      <sz val="12"/>
      <name val="Arial"/>
      <family val="2"/>
    </font>
    <font>
      <b/>
      <sz val="12"/>
      <name val="Arial"/>
      <family val="2"/>
    </font>
    <font>
      <b/>
      <sz val="12"/>
      <color theme="0"/>
      <name val="Arial"/>
      <family val="2"/>
    </font>
    <font>
      <i/>
      <sz val="12"/>
      <name val="Arial"/>
      <family val="2"/>
    </font>
    <font>
      <sz val="12"/>
      <color theme="0"/>
      <name val="Arial"/>
      <family val="2"/>
    </font>
    <font>
      <b/>
      <i/>
      <sz val="12"/>
      <color theme="0"/>
      <name val="Arial"/>
      <family val="2"/>
    </font>
    <font>
      <i/>
      <sz val="9"/>
      <name val="Arial"/>
      <family val="2"/>
    </font>
    <font>
      <sz val="12"/>
      <color rgb="FF0000FF"/>
      <name val="Arial"/>
      <family val="2"/>
    </font>
    <font>
      <sz val="12"/>
      <color rgb="FF006938"/>
      <name val="Arial"/>
      <family val="2"/>
    </font>
    <font>
      <b/>
      <sz val="12"/>
      <color rgb="FF006938"/>
      <name val="Arial"/>
      <family val="2"/>
    </font>
    <font>
      <sz val="11"/>
      <color theme="1"/>
      <name val="Calibri"/>
      <family val="2"/>
      <charset val="1"/>
    </font>
    <font>
      <sz val="12"/>
      <color theme="1"/>
      <name val="Arial"/>
      <family val="2"/>
    </font>
    <font>
      <b/>
      <i/>
      <sz val="12"/>
      <name val="Arial"/>
      <family val="2"/>
    </font>
    <font>
      <b/>
      <sz val="12"/>
      <color rgb="FF000000"/>
      <name val="Arial"/>
      <family val="2"/>
    </font>
    <font>
      <i/>
      <sz val="9"/>
      <color theme="1"/>
      <name val="Arial"/>
      <family val="2"/>
    </font>
    <font>
      <b/>
      <sz val="12"/>
      <color theme="1"/>
      <name val="Arial"/>
      <family val="2"/>
    </font>
    <font>
      <sz val="9"/>
      <color indexed="81"/>
      <name val="Tahoma"/>
      <family val="2"/>
    </font>
    <font>
      <b/>
      <sz val="9"/>
      <color indexed="81"/>
      <name val="Tahoma"/>
      <family val="2"/>
    </font>
    <font>
      <sz val="10"/>
      <name val="Arial"/>
      <family val="2"/>
    </font>
    <font>
      <b/>
      <sz val="13"/>
      <color indexed="8"/>
      <name val="Verdana"/>
      <family val="2"/>
    </font>
    <font>
      <b/>
      <sz val="12"/>
      <color indexed="8"/>
      <name val="Verdana"/>
      <family val="2"/>
    </font>
    <font>
      <b/>
      <sz val="10"/>
      <color indexed="9"/>
      <name val="Arial"/>
      <family val="2"/>
    </font>
    <font>
      <b/>
      <u val="singleAccounting"/>
      <sz val="8"/>
      <color indexed="8"/>
      <name val="Verdana"/>
      <family val="2"/>
    </font>
    <font>
      <b/>
      <sz val="8"/>
      <color indexed="9"/>
      <name val="Verdana"/>
      <family val="2"/>
    </font>
    <font>
      <b/>
      <u val="singleAccounting"/>
      <sz val="8"/>
      <color indexed="8"/>
      <name val="Arial"/>
      <family val="2"/>
    </font>
    <font>
      <sz val="8"/>
      <color indexed="8"/>
      <name val="Arial"/>
      <family val="2"/>
    </font>
    <font>
      <vertAlign val="superscript"/>
      <sz val="8"/>
      <color indexed="8"/>
      <name val="Arial"/>
      <family val="2"/>
    </font>
    <font>
      <vertAlign val="subscript"/>
      <sz val="8"/>
      <color indexed="8"/>
      <name val="Arial"/>
      <family val="2"/>
    </font>
    <font>
      <b/>
      <sz val="8"/>
      <color indexed="8"/>
      <name val="Arial"/>
      <family val="2"/>
    </font>
    <font>
      <i/>
      <sz val="8"/>
      <color indexed="8"/>
      <name val="Arial"/>
      <family val="2"/>
    </font>
    <font>
      <sz val="1"/>
      <color indexed="9"/>
      <name val="Symbol"/>
      <family val="1"/>
      <charset val="2"/>
    </font>
    <font>
      <sz val="10"/>
      <color indexed="8"/>
      <name val="Arial"/>
      <family val="2"/>
    </font>
    <font>
      <b/>
      <sz val="8"/>
      <color indexed="8"/>
      <name val="Verdana"/>
      <family val="2"/>
    </font>
    <font>
      <sz val="12"/>
      <color rgb="FF009B00"/>
      <name val="Arial"/>
      <family val="2"/>
    </font>
    <font>
      <sz val="11"/>
      <name val="Arial"/>
      <family val="2"/>
    </font>
    <font>
      <i/>
      <sz val="10"/>
      <name val="Arial"/>
      <family val="2"/>
    </font>
    <font>
      <i/>
      <sz val="12"/>
      <color theme="1"/>
      <name val="Arial"/>
      <family val="2"/>
    </font>
    <font>
      <sz val="11"/>
      <color theme="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Arial"/>
      <family val="2"/>
    </font>
    <font>
      <sz val="11"/>
      <color rgb="FF009B00"/>
      <name val="Arial"/>
      <family val="2"/>
    </font>
    <font>
      <sz val="11"/>
      <color rgb="FF008000"/>
      <name val="Arial"/>
      <family val="2"/>
    </font>
    <font>
      <sz val="11"/>
      <color rgb="FF0000FF"/>
      <name val="Arial"/>
      <family val="2"/>
    </font>
    <font>
      <sz val="7"/>
      <name val="Arial"/>
      <family val="2"/>
    </font>
    <font>
      <sz val="8"/>
      <name val="Arial"/>
      <family val="2"/>
    </font>
  </fonts>
  <fills count="28">
    <fill>
      <patternFill patternType="none"/>
    </fill>
    <fill>
      <patternFill patternType="gray125"/>
    </fill>
    <fill>
      <patternFill patternType="solid">
        <fgColor rgb="FF006938"/>
        <bgColor indexed="64"/>
      </patternFill>
    </fill>
    <fill>
      <patternFill patternType="solid">
        <fgColor theme="1"/>
        <bgColor indexed="64"/>
      </patternFill>
    </fill>
    <fill>
      <patternFill patternType="solid">
        <fgColor theme="9" tint="0.79998168889431442"/>
        <bgColor indexed="64"/>
      </patternFill>
    </fill>
    <fill>
      <patternFill patternType="solid">
        <fgColor indexed="63"/>
        <bgColor indexed="64"/>
      </patternFill>
    </fill>
    <fill>
      <patternFill patternType="solid">
        <fgColor indexed="62"/>
        <bgColor indexed="64"/>
      </patternFill>
    </fill>
    <fill>
      <patternFill patternType="solid">
        <fgColor indexed="56"/>
        <bgColor indexed="64"/>
      </patternFill>
    </fill>
    <fill>
      <patternFill patternType="solid">
        <fgColor indexed="60"/>
        <bgColor indexed="64"/>
      </patternFill>
    </fill>
    <fill>
      <patternFill patternType="solid">
        <fgColor theme="3" tint="0.89999084444715716"/>
        <bgColor indexed="64"/>
      </patternFill>
    </fill>
    <fill>
      <patternFill patternType="solid">
        <fgColor rgb="FFFFFF00"/>
        <bgColor indexed="64"/>
      </patternFill>
    </fill>
    <fill>
      <patternFill patternType="solid">
        <fgColor rgb="FF000037"/>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style="thin">
        <color indexed="64"/>
      </right>
      <top/>
      <bottom style="medium">
        <color indexed="64"/>
      </bottom>
      <diagonal/>
    </border>
    <border>
      <left/>
      <right/>
      <top/>
      <bottom style="double">
        <color indexed="64"/>
      </bottom>
      <diagonal/>
    </border>
    <border>
      <left/>
      <right style="thin">
        <color indexed="64"/>
      </right>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double">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64">
    <xf numFmtId="0" fontId="0" fillId="0" borderId="0"/>
    <xf numFmtId="0" fontId="12" fillId="0" borderId="0"/>
    <xf numFmtId="0" fontId="20" fillId="0" borderId="0"/>
    <xf numFmtId="0" fontId="21" fillId="0" borderId="0" applyAlignment="0"/>
    <xf numFmtId="0" fontId="22" fillId="0" borderId="0" applyAlignment="0"/>
    <xf numFmtId="0" fontId="23" fillId="5" borderId="0" applyAlignment="0"/>
    <xf numFmtId="0" fontId="24" fillId="6" borderId="0" applyAlignment="0"/>
    <xf numFmtId="0" fontId="25" fillId="7" borderId="0" applyAlignment="0"/>
    <xf numFmtId="0" fontId="26" fillId="8" borderId="0" applyAlignment="0"/>
    <xf numFmtId="0" fontId="27" fillId="0" borderId="0" applyAlignment="0"/>
    <xf numFmtId="0" fontId="28" fillId="0" borderId="0" applyAlignment="0"/>
    <xf numFmtId="0" fontId="29" fillId="0" borderId="0" applyAlignment="0"/>
    <xf numFmtId="0" fontId="30" fillId="0" borderId="0" applyAlignment="0"/>
    <xf numFmtId="0" fontId="31" fillId="0" borderId="0" applyAlignment="0"/>
    <xf numFmtId="0" fontId="30" fillId="0" borderId="0" applyAlignment="0">
      <alignment wrapText="1"/>
    </xf>
    <xf numFmtId="0" fontId="32" fillId="0" borderId="0" applyAlignment="0"/>
    <xf numFmtId="0" fontId="33" fillId="0" borderId="0" applyAlignment="0"/>
    <xf numFmtId="0" fontId="34" fillId="0" borderId="0" applyAlignment="0"/>
    <xf numFmtId="0" fontId="57" fillId="0" borderId="0"/>
    <xf numFmtId="0" fontId="20" fillId="0" borderId="0"/>
    <xf numFmtId="0" fontId="40"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3"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6" borderId="0" applyNumberFormat="0" applyBorder="0" applyAlignment="0" applyProtection="0"/>
    <xf numFmtId="0" fontId="40" fillId="19" borderId="0" applyNumberFormat="0" applyBorder="0" applyAlignment="0" applyProtection="0"/>
    <xf numFmtId="0" fontId="40" fillId="13" borderId="0" applyNumberFormat="0" applyBorder="0" applyAlignment="0" applyProtection="0"/>
    <xf numFmtId="0" fontId="41" fillId="20"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6" borderId="0" applyNumberFormat="0" applyBorder="0" applyAlignment="0" applyProtection="0"/>
    <xf numFmtId="0" fontId="41" fillId="20" borderId="0" applyNumberFormat="0" applyBorder="0" applyAlignment="0" applyProtection="0"/>
    <xf numFmtId="0" fontId="41" fillId="13"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2" fillId="25" borderId="0" applyNumberFormat="0" applyBorder="0" applyAlignment="0" applyProtection="0"/>
    <xf numFmtId="0" fontId="43" fillId="12" borderId="28" applyNumberFormat="0" applyAlignment="0" applyProtection="0"/>
    <xf numFmtId="0" fontId="44" fillId="26" borderId="29" applyNumberFormat="0" applyAlignment="0" applyProtection="0"/>
    <xf numFmtId="0" fontId="45" fillId="0" borderId="0" applyNumberFormat="0" applyFill="0" applyBorder="0" applyAlignment="0" applyProtection="0"/>
    <xf numFmtId="0" fontId="46" fillId="27" borderId="0" applyNumberFormat="0" applyBorder="0" applyAlignment="0" applyProtection="0"/>
    <xf numFmtId="0" fontId="47" fillId="0" borderId="30" applyNumberFormat="0" applyFill="0" applyAlignment="0" applyProtection="0"/>
    <xf numFmtId="0" fontId="48" fillId="0" borderId="31" applyNumberFormat="0" applyFill="0" applyAlignment="0" applyProtection="0"/>
    <xf numFmtId="0" fontId="49" fillId="0" borderId="32" applyNumberFormat="0" applyFill="0" applyAlignment="0" applyProtection="0"/>
    <xf numFmtId="0" fontId="49" fillId="0" borderId="0" applyNumberFormat="0" applyFill="0" applyBorder="0" applyAlignment="0" applyProtection="0"/>
    <xf numFmtId="0" fontId="50" fillId="13" borderId="28" applyNumberFormat="0" applyAlignment="0" applyProtection="0"/>
    <xf numFmtId="0" fontId="51" fillId="0" borderId="33" applyNumberFormat="0" applyFill="0" applyAlignment="0" applyProtection="0"/>
    <xf numFmtId="0" fontId="52" fillId="18" borderId="0" applyNumberFormat="0" applyBorder="0" applyAlignment="0" applyProtection="0"/>
    <xf numFmtId="0" fontId="40" fillId="14" borderId="34" applyNumberFormat="0" applyFont="0" applyAlignment="0" applyProtection="0"/>
    <xf numFmtId="0" fontId="53" fillId="12" borderId="35" applyNumberFormat="0" applyAlignment="0" applyProtection="0"/>
    <xf numFmtId="0" fontId="20" fillId="0" borderId="0" applyNumberFormat="0" applyFill="0" applyBorder="0" applyAlignment="0" applyProtection="0"/>
    <xf numFmtId="0" fontId="54" fillId="0" borderId="0" applyNumberFormat="0" applyFill="0" applyBorder="0" applyAlignment="0" applyProtection="0"/>
    <xf numFmtId="0" fontId="55" fillId="0" borderId="36" applyNumberFormat="0" applyFill="0" applyAlignment="0" applyProtection="0"/>
    <xf numFmtId="0" fontId="56" fillId="0" borderId="0" applyNumberFormat="0" applyFill="0" applyBorder="0" applyAlignment="0" applyProtection="0"/>
    <xf numFmtId="0" fontId="33" fillId="0" borderId="0"/>
    <xf numFmtId="0" fontId="57" fillId="0" borderId="0" applyNumberFormat="0" applyFill="0" applyBorder="0" applyAlignment="0" applyProtection="0"/>
  </cellStyleXfs>
  <cellXfs count="340">
    <xf numFmtId="0" fontId="0" fillId="0" borderId="0" xfId="0"/>
    <xf numFmtId="0" fontId="2" fillId="0" borderId="0" xfId="0" applyFont="1"/>
    <xf numFmtId="0" fontId="2" fillId="0" borderId="2"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3" fillId="0" borderId="0" xfId="0" applyFont="1"/>
    <xf numFmtId="0" fontId="5" fillId="0" borderId="0" xfId="0" applyFont="1"/>
    <xf numFmtId="0" fontId="6" fillId="3" borderId="0" xfId="0" applyFont="1" applyFill="1"/>
    <xf numFmtId="0" fontId="4" fillId="3" borderId="0" xfId="0" applyFont="1" applyFill="1"/>
    <xf numFmtId="0" fontId="7" fillId="3" borderId="0" xfId="0" applyFont="1" applyFill="1"/>
    <xf numFmtId="164" fontId="4" fillId="3" borderId="0" xfId="0" applyNumberFormat="1" applyFont="1" applyFill="1" applyAlignment="1">
      <alignment horizontal="center"/>
    </xf>
    <xf numFmtId="165" fontId="4" fillId="3" borderId="0" xfId="0" applyNumberFormat="1" applyFont="1" applyFill="1" applyAlignment="1">
      <alignment horizontal="center"/>
    </xf>
    <xf numFmtId="0" fontId="8" fillId="0" borderId="0" xfId="0" applyFont="1" applyAlignment="1">
      <alignment horizontal="left" indent="1"/>
    </xf>
    <xf numFmtId="10" fontId="8" fillId="0" borderId="0" xfId="0" applyNumberFormat="1" applyFont="1"/>
    <xf numFmtId="0" fontId="2" fillId="0" borderId="11" xfId="0" applyFont="1" applyBorder="1"/>
    <xf numFmtId="0" fontId="2" fillId="0" borderId="12" xfId="0" applyFont="1" applyBorder="1"/>
    <xf numFmtId="0" fontId="4" fillId="2" borderId="11" xfId="0" applyFont="1" applyFill="1" applyBorder="1"/>
    <xf numFmtId="0" fontId="6" fillId="2" borderId="11" xfId="0" applyFont="1" applyFill="1" applyBorder="1"/>
    <xf numFmtId="164" fontId="4" fillId="3" borderId="4" xfId="0" applyNumberFormat="1" applyFont="1" applyFill="1" applyBorder="1" applyAlignment="1">
      <alignment horizontal="center"/>
    </xf>
    <xf numFmtId="10" fontId="8" fillId="0" borderId="4" xfId="0" applyNumberFormat="1" applyFont="1" applyBorder="1"/>
    <xf numFmtId="0" fontId="6" fillId="2" borderId="13" xfId="0" applyFont="1" applyFill="1" applyBorder="1"/>
    <xf numFmtId="0" fontId="2" fillId="0" borderId="13" xfId="0" applyFont="1" applyBorder="1"/>
    <xf numFmtId="0" fontId="3" fillId="0" borderId="14" xfId="0" applyFont="1" applyBorder="1"/>
    <xf numFmtId="0" fontId="2" fillId="0" borderId="14" xfId="0" applyFont="1" applyBorder="1"/>
    <xf numFmtId="37" fontId="2" fillId="0" borderId="11" xfId="0" applyNumberFormat="1" applyFont="1" applyBorder="1"/>
    <xf numFmtId="37" fontId="9" fillId="0" borderId="11" xfId="0" applyNumberFormat="1" applyFont="1" applyBorder="1"/>
    <xf numFmtId="37" fontId="9" fillId="0" borderId="13" xfId="0" applyNumberFormat="1" applyFont="1" applyBorder="1"/>
    <xf numFmtId="37" fontId="2" fillId="0" borderId="0" xfId="0" applyNumberFormat="1" applyFont="1"/>
    <xf numFmtId="37" fontId="2" fillId="0" borderId="4" xfId="0" applyNumberFormat="1" applyFont="1" applyBorder="1"/>
    <xf numFmtId="5" fontId="3" fillId="0" borderId="14" xfId="0" applyNumberFormat="1" applyFont="1" applyBorder="1"/>
    <xf numFmtId="5" fontId="3" fillId="0" borderId="15" xfId="0" applyNumberFormat="1" applyFont="1" applyBorder="1"/>
    <xf numFmtId="10" fontId="2" fillId="0" borderId="0" xfId="0" applyNumberFormat="1" applyFont="1"/>
    <xf numFmtId="10" fontId="2" fillId="0" borderId="4" xfId="0" applyNumberFormat="1" applyFont="1" applyBorder="1"/>
    <xf numFmtId="10" fontId="2" fillId="0" borderId="12" xfId="0" applyNumberFormat="1" applyFont="1" applyBorder="1"/>
    <xf numFmtId="10" fontId="2" fillId="0" borderId="5" xfId="0" applyNumberFormat="1" applyFont="1" applyBorder="1"/>
    <xf numFmtId="0" fontId="2" fillId="0" borderId="1" xfId="0" applyFont="1" applyBorder="1" applyAlignment="1">
      <alignment horizontal="center"/>
    </xf>
    <xf numFmtId="10" fontId="9" fillId="0" borderId="10" xfId="0" applyNumberFormat="1" applyFont="1" applyBorder="1" applyAlignment="1">
      <alignment horizontal="center"/>
    </xf>
    <xf numFmtId="5" fontId="10" fillId="0" borderId="0" xfId="0" applyNumberFormat="1" applyFont="1"/>
    <xf numFmtId="5" fontId="10" fillId="0" borderId="4" xfId="0" applyNumberFormat="1" applyFont="1" applyBorder="1"/>
    <xf numFmtId="0" fontId="3" fillId="0" borderId="16" xfId="0" applyFont="1" applyBorder="1"/>
    <xf numFmtId="0" fontId="2" fillId="0" borderId="16" xfId="0" applyFont="1" applyBorder="1"/>
    <xf numFmtId="37" fontId="3" fillId="0" borderId="16" xfId="0" applyNumberFormat="1" applyFont="1" applyBorder="1"/>
    <xf numFmtId="37" fontId="3" fillId="0" borderId="17" xfId="0" applyNumberFormat="1" applyFont="1" applyBorder="1"/>
    <xf numFmtId="37" fontId="3" fillId="0" borderId="0" xfId="0" applyNumberFormat="1" applyFont="1"/>
    <xf numFmtId="37" fontId="3" fillId="0" borderId="4" xfId="0" applyNumberFormat="1" applyFont="1" applyBorder="1"/>
    <xf numFmtId="5" fontId="11" fillId="0" borderId="0" xfId="0" applyNumberFormat="1" applyFont="1"/>
    <xf numFmtId="5" fontId="11" fillId="0" borderId="4" xfId="0" applyNumberFormat="1" applyFont="1" applyBorder="1"/>
    <xf numFmtId="37" fontId="2" fillId="0" borderId="12" xfId="0" applyNumberFormat="1" applyFont="1" applyBorder="1"/>
    <xf numFmtId="37" fontId="9" fillId="0" borderId="12" xfId="0" applyNumberFormat="1" applyFont="1" applyBorder="1"/>
    <xf numFmtId="37" fontId="9" fillId="0" borderId="5" xfId="0" applyNumberFormat="1" applyFont="1" applyBorder="1"/>
    <xf numFmtId="37" fontId="9" fillId="0" borderId="0" xfId="0" applyNumberFormat="1" applyFont="1"/>
    <xf numFmtId="37" fontId="9" fillId="0" borderId="4" xfId="0" applyNumberFormat="1" applyFont="1" applyBorder="1"/>
    <xf numFmtId="10" fontId="8" fillId="0" borderId="18" xfId="0" applyNumberFormat="1" applyFont="1" applyBorder="1"/>
    <xf numFmtId="0" fontId="2" fillId="0" borderId="19" xfId="0" applyFont="1" applyBorder="1"/>
    <xf numFmtId="0" fontId="3" fillId="0" borderId="12" xfId="0" applyFont="1" applyBorder="1"/>
    <xf numFmtId="166" fontId="2" fillId="0" borderId="0" xfId="0" applyNumberFormat="1" applyFont="1"/>
    <xf numFmtId="10" fontId="8" fillId="0" borderId="21" xfId="0" applyNumberFormat="1" applyFont="1" applyBorder="1"/>
    <xf numFmtId="166" fontId="2" fillId="0" borderId="4" xfId="0" applyNumberFormat="1" applyFont="1" applyBorder="1"/>
    <xf numFmtId="166" fontId="2" fillId="4" borderId="0" xfId="0" applyNumberFormat="1" applyFont="1" applyFill="1"/>
    <xf numFmtId="37" fontId="10" fillId="0" borderId="0" xfId="0" applyNumberFormat="1" applyFont="1"/>
    <xf numFmtId="0" fontId="13" fillId="0" borderId="0" xfId="0" applyFont="1"/>
    <xf numFmtId="164" fontId="4" fillId="3" borderId="12" xfId="1" applyNumberFormat="1" applyFont="1" applyFill="1" applyBorder="1" applyAlignment="1">
      <alignment horizontal="center"/>
    </xf>
    <xf numFmtId="165" fontId="4" fillId="3" borderId="12" xfId="1" applyNumberFormat="1" applyFont="1" applyFill="1" applyBorder="1" applyAlignment="1">
      <alignment horizontal="center"/>
    </xf>
    <xf numFmtId="0" fontId="14" fillId="0" borderId="0" xfId="1" applyFont="1"/>
    <xf numFmtId="0" fontId="13" fillId="0" borderId="0" xfId="1" applyFont="1"/>
    <xf numFmtId="0" fontId="2" fillId="0" borderId="0" xfId="1" applyFont="1" applyAlignment="1">
      <alignment horizontal="left"/>
    </xf>
    <xf numFmtId="167" fontId="9" fillId="0" borderId="0" xfId="1" applyNumberFormat="1" applyFont="1"/>
    <xf numFmtId="0" fontId="2" fillId="0" borderId="0" xfId="1" applyFont="1"/>
    <xf numFmtId="0" fontId="3" fillId="0" borderId="0" xfId="1" applyFont="1"/>
    <xf numFmtId="167" fontId="15" fillId="0" borderId="0" xfId="1" applyNumberFormat="1" applyFont="1"/>
    <xf numFmtId="0" fontId="2" fillId="0" borderId="11" xfId="1" applyFont="1" applyBorder="1"/>
    <xf numFmtId="167" fontId="9" fillId="0" borderId="11" xfId="1" applyNumberFormat="1" applyFont="1" applyBorder="1"/>
    <xf numFmtId="0" fontId="2" fillId="0" borderId="11" xfId="1" applyFont="1" applyBorder="1" applyAlignment="1">
      <alignment horizontal="left"/>
    </xf>
    <xf numFmtId="0" fontId="13" fillId="0" borderId="2" xfId="1" applyFont="1" applyBorder="1"/>
    <xf numFmtId="167" fontId="9" fillId="0" borderId="4" xfId="1" applyNumberFormat="1" applyFont="1" applyBorder="1"/>
    <xf numFmtId="167" fontId="15" fillId="0" borderId="4" xfId="1" applyNumberFormat="1" applyFont="1" applyBorder="1"/>
    <xf numFmtId="0" fontId="13" fillId="0" borderId="4" xfId="0" applyFont="1" applyBorder="1"/>
    <xf numFmtId="0" fontId="13" fillId="0" borderId="4" xfId="1" applyFont="1" applyBorder="1"/>
    <xf numFmtId="0" fontId="13" fillId="0" borderId="22" xfId="0" applyFont="1" applyBorder="1"/>
    <xf numFmtId="0" fontId="13" fillId="0" borderId="11" xfId="0" applyFont="1" applyBorder="1"/>
    <xf numFmtId="0" fontId="13" fillId="0" borderId="13" xfId="0" applyFont="1" applyBorder="1"/>
    <xf numFmtId="167" fontId="15" fillId="0" borderId="16" xfId="1" applyNumberFormat="1" applyFont="1" applyBorder="1"/>
    <xf numFmtId="0" fontId="3" fillId="0" borderId="14" xfId="1" applyFont="1" applyBorder="1"/>
    <xf numFmtId="0" fontId="16" fillId="0" borderId="0" xfId="0" applyFont="1" applyAlignment="1">
      <alignment horizontal="left" indent="1"/>
    </xf>
    <xf numFmtId="0" fontId="16" fillId="0" borderId="0" xfId="0" applyFont="1" applyAlignment="1">
      <alignment horizontal="center"/>
    </xf>
    <xf numFmtId="0" fontId="17" fillId="0" borderId="0" xfId="0" applyFont="1"/>
    <xf numFmtId="0" fontId="4" fillId="3" borderId="11" xfId="0" applyFont="1" applyFill="1" applyBorder="1"/>
    <xf numFmtId="0" fontId="6" fillId="3" borderId="11" xfId="0" applyFont="1" applyFill="1" applyBorder="1"/>
    <xf numFmtId="167" fontId="13" fillId="0" borderId="0" xfId="0" applyNumberFormat="1" applyFont="1"/>
    <xf numFmtId="167" fontId="10" fillId="0" borderId="0" xfId="0" applyNumberFormat="1" applyFont="1"/>
    <xf numFmtId="37" fontId="13" fillId="0" borderId="0" xfId="0" applyNumberFormat="1" applyFont="1"/>
    <xf numFmtId="10" fontId="13" fillId="0" borderId="0" xfId="0" applyNumberFormat="1" applyFont="1"/>
    <xf numFmtId="0" fontId="16" fillId="0" borderId="18" xfId="0" applyFont="1" applyBorder="1" applyAlignment="1">
      <alignment horizontal="center"/>
    </xf>
    <xf numFmtId="0" fontId="6" fillId="3" borderId="13" xfId="0" applyFont="1" applyFill="1" applyBorder="1"/>
    <xf numFmtId="10" fontId="13" fillId="0" borderId="4" xfId="0" applyNumberFormat="1" applyFont="1" applyBorder="1"/>
    <xf numFmtId="10" fontId="10" fillId="0" borderId="0" xfId="0" applyNumberFormat="1" applyFont="1"/>
    <xf numFmtId="37" fontId="13" fillId="0" borderId="22" xfId="0" applyNumberFormat="1" applyFont="1" applyBorder="1"/>
    <xf numFmtId="37" fontId="13" fillId="0" borderId="11" xfId="0" applyNumberFormat="1" applyFont="1" applyBorder="1"/>
    <xf numFmtId="0" fontId="7" fillId="3" borderId="12" xfId="1" applyFont="1" applyFill="1" applyBorder="1"/>
    <xf numFmtId="0" fontId="3" fillId="0" borderId="0" xfId="2" applyFont="1" applyAlignment="1">
      <alignment horizontal="left" vertical="top"/>
    </xf>
    <xf numFmtId="0" fontId="2" fillId="0" borderId="0" xfId="2" applyFont="1" applyAlignment="1">
      <alignment horizontal="left" vertical="top"/>
    </xf>
    <xf numFmtId="168" fontId="2" fillId="0" borderId="0" xfId="2" applyNumberFormat="1" applyFont="1" applyAlignment="1">
      <alignment horizontal="right" vertical="top" wrapText="1"/>
    </xf>
    <xf numFmtId="0" fontId="4" fillId="3" borderId="0" xfId="2" applyFont="1" applyFill="1"/>
    <xf numFmtId="0" fontId="7" fillId="3" borderId="0" xfId="2" applyFont="1" applyFill="1" applyAlignment="1">
      <alignment wrapText="1"/>
    </xf>
    <xf numFmtId="37" fontId="2" fillId="0" borderId="0" xfId="2" applyNumberFormat="1" applyFont="1" applyAlignment="1">
      <alignment horizontal="right" vertical="top" wrapText="1"/>
    </xf>
    <xf numFmtId="0" fontId="2" fillId="0" borderId="11" xfId="2" applyFont="1" applyBorder="1" applyAlignment="1">
      <alignment horizontal="left" vertical="top"/>
    </xf>
    <xf numFmtId="37" fontId="2" fillId="0" borderId="11" xfId="2" applyNumberFormat="1" applyFont="1" applyBorder="1" applyAlignment="1">
      <alignment horizontal="right" vertical="top" wrapText="1"/>
    </xf>
    <xf numFmtId="37" fontId="3" fillId="0" borderId="0" xfId="2" applyNumberFormat="1" applyFont="1" applyAlignment="1">
      <alignment horizontal="right" vertical="top" wrapText="1"/>
    </xf>
    <xf numFmtId="164" fontId="4" fillId="3" borderId="0" xfId="2" applyNumberFormat="1" applyFont="1" applyFill="1" applyAlignment="1">
      <alignment horizontal="center" wrapText="1"/>
    </xf>
    <xf numFmtId="37" fontId="10" fillId="0" borderId="11" xfId="0" applyNumberFormat="1" applyFont="1" applyBorder="1"/>
    <xf numFmtId="37" fontId="10" fillId="0" borderId="4" xfId="0" applyNumberFormat="1" applyFont="1" applyBorder="1"/>
    <xf numFmtId="37" fontId="10" fillId="0" borderId="13" xfId="0" applyNumberFormat="1" applyFont="1" applyBorder="1"/>
    <xf numFmtId="37" fontId="17" fillId="0" borderId="0" xfId="0" applyNumberFormat="1" applyFont="1"/>
    <xf numFmtId="37" fontId="17" fillId="0" borderId="4" xfId="0" applyNumberFormat="1" applyFont="1" applyBorder="1"/>
    <xf numFmtId="37" fontId="13" fillId="0" borderId="0" xfId="0" quotePrefix="1" applyNumberFormat="1" applyFont="1" applyAlignment="1">
      <alignment horizontal="center"/>
    </xf>
    <xf numFmtId="10" fontId="9" fillId="0" borderId="0" xfId="0" applyNumberFormat="1" applyFont="1"/>
    <xf numFmtId="0" fontId="8" fillId="0" borderId="0" xfId="2" applyFont="1" applyAlignment="1">
      <alignment horizontal="left" vertical="top"/>
    </xf>
    <xf numFmtId="9" fontId="8" fillId="0" borderId="0" xfId="2" applyNumberFormat="1" applyFont="1" applyAlignment="1">
      <alignment horizontal="right" vertical="top" wrapText="1"/>
    </xf>
    <xf numFmtId="0" fontId="1" fillId="3" borderId="0" xfId="0" applyFont="1" applyFill="1"/>
    <xf numFmtId="169" fontId="9" fillId="0" borderId="0" xfId="0" applyNumberFormat="1" applyFont="1"/>
    <xf numFmtId="0" fontId="9" fillId="0" borderId="0" xfId="0" applyFont="1"/>
    <xf numFmtId="37" fontId="9" fillId="0" borderId="0" xfId="0" applyNumberFormat="1" applyFont="1" applyAlignment="1">
      <alignment horizontal="right"/>
    </xf>
    <xf numFmtId="0" fontId="9" fillId="0" borderId="0" xfId="0" applyFont="1" applyAlignment="1">
      <alignment horizontal="right"/>
    </xf>
    <xf numFmtId="166" fontId="9" fillId="4" borderId="0" xfId="0" applyNumberFormat="1" applyFont="1" applyFill="1"/>
    <xf numFmtId="166" fontId="10" fillId="4" borderId="0" xfId="0" applyNumberFormat="1" applyFont="1" applyFill="1"/>
    <xf numFmtId="37" fontId="3" fillId="0" borderId="0" xfId="0" applyNumberFormat="1" applyFont="1" applyAlignment="1">
      <alignment horizontal="right"/>
    </xf>
    <xf numFmtId="37" fontId="10" fillId="0" borderId="22" xfId="0" applyNumberFormat="1" applyFont="1" applyBorder="1"/>
    <xf numFmtId="167" fontId="15" fillId="0" borderId="23" xfId="1" applyNumberFormat="1" applyFont="1" applyBorder="1"/>
    <xf numFmtId="167" fontId="15" fillId="0" borderId="14" xfId="1" applyNumberFormat="1" applyFont="1" applyBorder="1"/>
    <xf numFmtId="167" fontId="10" fillId="0" borderId="22" xfId="0" applyNumberFormat="1" applyFont="1" applyBorder="1"/>
    <xf numFmtId="167" fontId="10" fillId="0" borderId="11" xfId="0" applyNumberFormat="1" applyFont="1" applyBorder="1"/>
    <xf numFmtId="37" fontId="17" fillId="0" borderId="21" xfId="0" applyNumberFormat="1" applyFont="1" applyBorder="1"/>
    <xf numFmtId="167" fontId="13" fillId="0" borderId="4" xfId="0" applyNumberFormat="1" applyFont="1" applyBorder="1"/>
    <xf numFmtId="0" fontId="13" fillId="0" borderId="0" xfId="0" quotePrefix="1" applyFont="1" applyAlignment="1">
      <alignment horizontal="center"/>
    </xf>
    <xf numFmtId="37" fontId="13" fillId="0" borderId="4" xfId="0" applyNumberFormat="1" applyFont="1" applyBorder="1"/>
    <xf numFmtId="37" fontId="35" fillId="0" borderId="0" xfId="0" applyNumberFormat="1" applyFont="1"/>
    <xf numFmtId="37" fontId="35" fillId="0" borderId="4" xfId="0" applyNumberFormat="1" applyFont="1" applyBorder="1"/>
    <xf numFmtId="37" fontId="13" fillId="0" borderId="13" xfId="0" applyNumberFormat="1" applyFont="1" applyBorder="1"/>
    <xf numFmtId="37" fontId="35" fillId="0" borderId="11" xfId="0" applyNumberFormat="1" applyFont="1" applyBorder="1"/>
    <xf numFmtId="37" fontId="35" fillId="0" borderId="13" xfId="0" applyNumberFormat="1" applyFont="1" applyBorder="1"/>
    <xf numFmtId="8" fontId="9" fillId="0" borderId="0" xfId="0" applyNumberFormat="1" applyFont="1"/>
    <xf numFmtId="167" fontId="17" fillId="0" borderId="0" xfId="0" applyNumberFormat="1" applyFont="1"/>
    <xf numFmtId="167" fontId="17" fillId="0" borderId="21" xfId="0" applyNumberFormat="1" applyFont="1" applyBorder="1"/>
    <xf numFmtId="165" fontId="4" fillId="3" borderId="0" xfId="2" applyNumberFormat="1" applyFont="1" applyFill="1" applyAlignment="1">
      <alignment horizontal="center" wrapText="1"/>
    </xf>
    <xf numFmtId="5" fontId="17" fillId="0" borderId="0" xfId="0" applyNumberFormat="1" applyFont="1"/>
    <xf numFmtId="164" fontId="4" fillId="3" borderId="4" xfId="2" applyNumberFormat="1" applyFont="1" applyFill="1" applyBorder="1" applyAlignment="1">
      <alignment horizontal="center" wrapText="1"/>
    </xf>
    <xf numFmtId="5" fontId="17" fillId="0" borderId="4" xfId="0" applyNumberFormat="1" applyFont="1" applyBorder="1"/>
    <xf numFmtId="0" fontId="2" fillId="0" borderId="3" xfId="0" applyFont="1" applyBorder="1"/>
    <xf numFmtId="0" fontId="3" fillId="0" borderId="25" xfId="0" applyFont="1" applyBorder="1"/>
    <xf numFmtId="0" fontId="3" fillId="0" borderId="8" xfId="0" applyFont="1" applyBorder="1"/>
    <xf numFmtId="0" fontId="3" fillId="0" borderId="1" xfId="0" applyFont="1" applyBorder="1"/>
    <xf numFmtId="169" fontId="9" fillId="0" borderId="4" xfId="0" applyNumberFormat="1" applyFont="1" applyBorder="1"/>
    <xf numFmtId="10" fontId="9" fillId="0" borderId="4" xfId="0" applyNumberFormat="1" applyFont="1" applyBorder="1"/>
    <xf numFmtId="10" fontId="35" fillId="0" borderId="4" xfId="0" applyNumberFormat="1" applyFont="1" applyBorder="1"/>
    <xf numFmtId="10" fontId="2" fillId="0" borderId="10" xfId="0" applyNumberFormat="1" applyFont="1" applyBorder="1"/>
    <xf numFmtId="170" fontId="3" fillId="0" borderId="10" xfId="0" applyNumberFormat="1" applyFont="1" applyBorder="1"/>
    <xf numFmtId="37" fontId="3" fillId="0" borderId="10" xfId="0" applyNumberFormat="1" applyFont="1" applyBorder="1"/>
    <xf numFmtId="10" fontId="3" fillId="0" borderId="5" xfId="0" applyNumberFormat="1" applyFont="1" applyBorder="1"/>
    <xf numFmtId="0" fontId="2" fillId="0" borderId="0" xfId="18" applyFont="1" applyAlignment="1">
      <alignment wrapText="1"/>
    </xf>
    <xf numFmtId="0" fontId="2" fillId="0" borderId="0" xfId="2" applyFont="1" applyAlignment="1">
      <alignment wrapText="1"/>
    </xf>
    <xf numFmtId="0" fontId="4" fillId="3" borderId="0" xfId="0" applyFont="1" applyFill="1" applyAlignment="1">
      <alignment horizontal="left" vertical="top" wrapText="1"/>
    </xf>
    <xf numFmtId="0" fontId="3" fillId="0" borderId="0" xfId="0" applyFont="1" applyAlignment="1">
      <alignment horizontal="left" vertical="top" wrapText="1"/>
    </xf>
    <xf numFmtId="0" fontId="3" fillId="4" borderId="0" xfId="0" applyFont="1" applyFill="1" applyAlignment="1">
      <alignment horizontal="left" vertical="top" wrapText="1"/>
    </xf>
    <xf numFmtId="171" fontId="9" fillId="4" borderId="0" xfId="0" applyNumberFormat="1" applyFont="1" applyFill="1" applyAlignment="1">
      <alignment horizontal="right" vertical="top" wrapText="1"/>
    </xf>
    <xf numFmtId="172" fontId="9" fillId="4" borderId="0" xfId="0" applyNumberFormat="1" applyFont="1" applyFill="1" applyAlignment="1">
      <alignment horizontal="right" vertical="top" wrapText="1"/>
    </xf>
    <xf numFmtId="173" fontId="9" fillId="4" borderId="0" xfId="0" applyNumberFormat="1" applyFont="1" applyFill="1" applyAlignment="1">
      <alignment horizontal="right" vertical="top" wrapText="1"/>
    </xf>
    <xf numFmtId="171" fontId="2" fillId="0" borderId="0" xfId="0" applyNumberFormat="1" applyFont="1"/>
    <xf numFmtId="174" fontId="2" fillId="0" borderId="0" xfId="0" applyNumberFormat="1" applyFont="1"/>
    <xf numFmtId="174" fontId="2" fillId="0" borderId="0" xfId="0" applyNumberFormat="1" applyFont="1" applyAlignment="1">
      <alignment horizontal="center"/>
    </xf>
    <xf numFmtId="174" fontId="35" fillId="0" borderId="0" xfId="0" applyNumberFormat="1" applyFont="1" applyAlignment="1">
      <alignment horizontal="center"/>
    </xf>
    <xf numFmtId="0" fontId="2" fillId="0" borderId="0" xfId="0" applyFont="1" applyAlignment="1">
      <alignment horizontal="left"/>
    </xf>
    <xf numFmtId="7" fontId="2" fillId="0" borderId="0" xfId="0" applyNumberFormat="1" applyFont="1"/>
    <xf numFmtId="7" fontId="9" fillId="0" borderId="0" xfId="0" applyNumberFormat="1" applyFont="1"/>
    <xf numFmtId="7" fontId="9" fillId="0" borderId="4" xfId="0" applyNumberFormat="1" applyFont="1" applyBorder="1"/>
    <xf numFmtId="9" fontId="9" fillId="0" borderId="0" xfId="0" applyNumberFormat="1" applyFont="1"/>
    <xf numFmtId="10" fontId="9" fillId="0" borderId="12" xfId="0" applyNumberFormat="1" applyFont="1" applyBorder="1"/>
    <xf numFmtId="37" fontId="37" fillId="0" borderId="0" xfId="0" applyNumberFormat="1" applyFont="1"/>
    <xf numFmtId="165" fontId="4" fillId="3" borderId="12" xfId="0" applyNumberFormat="1" applyFont="1" applyFill="1" applyBorder="1" applyAlignment="1">
      <alignment horizontal="center"/>
    </xf>
    <xf numFmtId="37" fontId="35" fillId="0" borderId="3" xfId="0" applyNumberFormat="1" applyFont="1" applyBorder="1"/>
    <xf numFmtId="171" fontId="9" fillId="0" borderId="0" xfId="0" applyNumberFormat="1" applyFont="1" applyAlignment="1">
      <alignment horizontal="right" vertical="top" wrapText="1"/>
    </xf>
    <xf numFmtId="172" fontId="9" fillId="0" borderId="0" xfId="0" applyNumberFormat="1" applyFont="1" applyAlignment="1">
      <alignment horizontal="right" vertical="top" wrapText="1"/>
    </xf>
    <xf numFmtId="173" fontId="9" fillId="0" borderId="0" xfId="0" applyNumberFormat="1" applyFont="1" applyAlignment="1">
      <alignment horizontal="right" vertical="top" wrapText="1"/>
    </xf>
    <xf numFmtId="0" fontId="3" fillId="9" borderId="0" xfId="0" applyFont="1" applyFill="1" applyAlignment="1">
      <alignment horizontal="left" vertical="top" wrapText="1"/>
    </xf>
    <xf numFmtId="171" fontId="9" fillId="9" borderId="0" xfId="0" applyNumberFormat="1" applyFont="1" applyFill="1" applyAlignment="1">
      <alignment horizontal="right" vertical="top" wrapText="1"/>
    </xf>
    <xf numFmtId="172" fontId="9" fillId="9" borderId="0" xfId="0" applyNumberFormat="1" applyFont="1" applyFill="1" applyAlignment="1">
      <alignment horizontal="right" vertical="top" wrapText="1"/>
    </xf>
    <xf numFmtId="173" fontId="9" fillId="9" borderId="0" xfId="0" applyNumberFormat="1" applyFont="1" applyFill="1" applyAlignment="1">
      <alignment horizontal="right" vertical="top" wrapText="1"/>
    </xf>
    <xf numFmtId="171" fontId="3" fillId="0" borderId="0" xfId="0" applyNumberFormat="1" applyFont="1"/>
    <xf numFmtId="174" fontId="3" fillId="0" borderId="0" xfId="0" applyNumberFormat="1" applyFont="1"/>
    <xf numFmtId="0" fontId="4" fillId="3" borderId="0" xfId="0" applyFont="1" applyFill="1" applyAlignment="1">
      <alignment horizontal="center" vertical="top" wrapText="1"/>
    </xf>
    <xf numFmtId="0" fontId="3" fillId="0" borderId="11" xfId="0" applyFont="1" applyBorder="1"/>
    <xf numFmtId="0" fontId="3" fillId="0" borderId="19" xfId="0" applyFont="1" applyBorder="1" applyAlignment="1">
      <alignment horizontal="center"/>
    </xf>
    <xf numFmtId="174" fontId="9" fillId="0" borderId="0" xfId="0" applyNumberFormat="1" applyFont="1" applyAlignment="1">
      <alignment horizontal="right"/>
    </xf>
    <xf numFmtId="10" fontId="9" fillId="0" borderId="0" xfId="0" applyNumberFormat="1" applyFont="1" applyAlignment="1">
      <alignment horizontal="right"/>
    </xf>
    <xf numFmtId="9" fontId="9" fillId="0" borderId="0" xfId="0" applyNumberFormat="1" applyFont="1" applyAlignment="1">
      <alignment horizontal="right"/>
    </xf>
    <xf numFmtId="174" fontId="9" fillId="9" borderId="0" xfId="0" applyNumberFormat="1" applyFont="1" applyFill="1" applyAlignment="1">
      <alignment horizontal="right"/>
    </xf>
    <xf numFmtId="0" fontId="9" fillId="9" borderId="0" xfId="0" applyFont="1" applyFill="1" applyAlignment="1">
      <alignment horizontal="right"/>
    </xf>
    <xf numFmtId="10" fontId="9" fillId="9" borderId="0" xfId="0" applyNumberFormat="1" applyFont="1" applyFill="1" applyAlignment="1">
      <alignment horizontal="right"/>
    </xf>
    <xf numFmtId="174" fontId="9" fillId="4" borderId="0" xfId="0" applyNumberFormat="1" applyFont="1" applyFill="1" applyAlignment="1">
      <alignment horizontal="right"/>
    </xf>
    <xf numFmtId="10" fontId="9" fillId="4" borderId="0" xfId="0" applyNumberFormat="1" applyFont="1" applyFill="1" applyAlignment="1">
      <alignment horizontal="right"/>
    </xf>
    <xf numFmtId="10" fontId="3" fillId="0" borderId="0" xfId="0" applyNumberFormat="1" applyFont="1"/>
    <xf numFmtId="174" fontId="9" fillId="10" borderId="0" xfId="0" applyNumberFormat="1" applyFont="1" applyFill="1" applyAlignment="1">
      <alignment horizontal="center"/>
    </xf>
    <xf numFmtId="175" fontId="9" fillId="0" borderId="0" xfId="0" applyNumberFormat="1" applyFont="1"/>
    <xf numFmtId="9" fontId="9" fillId="0" borderId="12" xfId="0" applyNumberFormat="1" applyFont="1" applyBorder="1"/>
    <xf numFmtId="0" fontId="3" fillId="4" borderId="19" xfId="0" applyFont="1" applyFill="1" applyBorder="1"/>
    <xf numFmtId="0" fontId="2" fillId="4" borderId="19" xfId="0" applyFont="1" applyFill="1" applyBorder="1"/>
    <xf numFmtId="37" fontId="3" fillId="4" borderId="19" xfId="0" applyNumberFormat="1" applyFont="1" applyFill="1" applyBorder="1"/>
    <xf numFmtId="37" fontId="3" fillId="4" borderId="20" xfId="0" applyNumberFormat="1" applyFont="1" applyFill="1" applyBorder="1"/>
    <xf numFmtId="37" fontId="2" fillId="0" borderId="0" xfId="0" applyNumberFormat="1" applyFont="1" applyAlignment="1">
      <alignment horizontal="center"/>
    </xf>
    <xf numFmtId="37" fontId="35" fillId="0" borderId="0" xfId="0" applyNumberFormat="1" applyFont="1" applyAlignment="1">
      <alignment horizontal="center"/>
    </xf>
    <xf numFmtId="37" fontId="9" fillId="0" borderId="0" xfId="0" applyNumberFormat="1" applyFont="1" applyAlignment="1">
      <alignment horizontal="center"/>
    </xf>
    <xf numFmtId="176" fontId="3" fillId="0" borderId="0" xfId="0" applyNumberFormat="1" applyFont="1" applyAlignment="1">
      <alignment horizontal="center"/>
    </xf>
    <xf numFmtId="166" fontId="3" fillId="0" borderId="0" xfId="0" applyNumberFormat="1" applyFont="1" applyAlignment="1">
      <alignment horizontal="center"/>
    </xf>
    <xf numFmtId="0" fontId="2" fillId="0" borderId="24" xfId="0" applyFont="1" applyBorder="1"/>
    <xf numFmtId="0" fontId="2" fillId="0" borderId="25" xfId="0" applyFont="1" applyBorder="1"/>
    <xf numFmtId="0" fontId="2" fillId="0" borderId="1" xfId="0" applyFont="1" applyBorder="1"/>
    <xf numFmtId="176" fontId="2" fillId="0" borderId="10" xfId="0" applyNumberFormat="1" applyFont="1" applyBorder="1"/>
    <xf numFmtId="0" fontId="13" fillId="3" borderId="0" xfId="0" applyFont="1" applyFill="1"/>
    <xf numFmtId="167" fontId="13" fillId="0" borderId="11" xfId="0" applyNumberFormat="1" applyFont="1" applyBorder="1"/>
    <xf numFmtId="167" fontId="35" fillId="0" borderId="0" xfId="0" applyNumberFormat="1" applyFont="1"/>
    <xf numFmtId="167" fontId="35" fillId="0" borderId="4" xfId="0" applyNumberFormat="1" applyFont="1" applyBorder="1"/>
    <xf numFmtId="167" fontId="13" fillId="0" borderId="13" xfId="0" applyNumberFormat="1" applyFont="1" applyBorder="1"/>
    <xf numFmtId="0" fontId="17" fillId="0" borderId="0" xfId="0" applyFont="1" applyAlignment="1">
      <alignment horizontal="right"/>
    </xf>
    <xf numFmtId="167" fontId="17" fillId="0" borderId="4" xfId="0" applyNumberFormat="1" applyFont="1" applyBorder="1"/>
    <xf numFmtId="0" fontId="16" fillId="0" borderId="0" xfId="0" applyFont="1"/>
    <xf numFmtId="0" fontId="13" fillId="0" borderId="12" xfId="0" applyFont="1" applyBorder="1"/>
    <xf numFmtId="0" fontId="17" fillId="0" borderId="27" xfId="0" applyFont="1" applyBorder="1"/>
    <xf numFmtId="0" fontId="13" fillId="0" borderId="27" xfId="0" applyFont="1" applyBorder="1"/>
    <xf numFmtId="0" fontId="17" fillId="0" borderId="24" xfId="0" applyFont="1" applyBorder="1"/>
    <xf numFmtId="0" fontId="13" fillId="0" borderId="26" xfId="0" applyFont="1" applyBorder="1"/>
    <xf numFmtId="0" fontId="17" fillId="0" borderId="3" xfId="0" applyFont="1" applyBorder="1"/>
    <xf numFmtId="0" fontId="38" fillId="0" borderId="3" xfId="0" applyFont="1" applyBorder="1"/>
    <xf numFmtId="0" fontId="13" fillId="0" borderId="3" xfId="0" applyFont="1" applyBorder="1"/>
    <xf numFmtId="0" fontId="17" fillId="0" borderId="25" xfId="0" applyFont="1" applyBorder="1"/>
    <xf numFmtId="0" fontId="17" fillId="0" borderId="9" xfId="0" applyFont="1" applyBorder="1"/>
    <xf numFmtId="0" fontId="13" fillId="0" borderId="10" xfId="0" applyFont="1" applyBorder="1"/>
    <xf numFmtId="0" fontId="13" fillId="0" borderId="9" xfId="0" applyFont="1" applyBorder="1"/>
    <xf numFmtId="10" fontId="35" fillId="0" borderId="10" xfId="0" applyNumberFormat="1" applyFont="1" applyBorder="1"/>
    <xf numFmtId="174" fontId="13" fillId="0" borderId="4" xfId="0" applyNumberFormat="1" applyFont="1" applyBorder="1"/>
    <xf numFmtId="174" fontId="35" fillId="0" borderId="4" xfId="0" applyNumberFormat="1" applyFont="1" applyBorder="1"/>
    <xf numFmtId="174" fontId="13" fillId="0" borderId="10" xfId="0" applyNumberFormat="1" applyFont="1" applyBorder="1"/>
    <xf numFmtId="37" fontId="35" fillId="0" borderId="27" xfId="0" applyNumberFormat="1" applyFont="1" applyBorder="1"/>
    <xf numFmtId="37" fontId="35" fillId="0" borderId="10" xfId="0" applyNumberFormat="1" applyFont="1" applyBorder="1"/>
    <xf numFmtId="10" fontId="16" fillId="0" borderId="0" xfId="0" applyNumberFormat="1" applyFont="1"/>
    <xf numFmtId="37" fontId="17" fillId="0" borderId="27" xfId="0" applyNumberFormat="1" applyFont="1" applyBorder="1"/>
    <xf numFmtId="37" fontId="17" fillId="0" borderId="10" xfId="0" applyNumberFormat="1" applyFont="1" applyBorder="1"/>
    <xf numFmtId="37" fontId="13" fillId="0" borderId="10" xfId="0" applyNumberFormat="1" applyFont="1" applyBorder="1"/>
    <xf numFmtId="176" fontId="17" fillId="0" borderId="2" xfId="0" applyNumberFormat="1" applyFont="1" applyBorder="1"/>
    <xf numFmtId="10" fontId="17" fillId="0" borderId="5" xfId="0" applyNumberFormat="1" applyFont="1" applyBorder="1"/>
    <xf numFmtId="0" fontId="13" fillId="0" borderId="24" xfId="0" applyFont="1" applyBorder="1"/>
    <xf numFmtId="7" fontId="17" fillId="0" borderId="4" xfId="0" applyNumberFormat="1" applyFont="1" applyBorder="1"/>
    <xf numFmtId="0" fontId="13" fillId="0" borderId="25" xfId="0" applyFont="1" applyBorder="1"/>
    <xf numFmtId="37" fontId="35" fillId="0" borderId="5" xfId="0" applyNumberFormat="1" applyFont="1" applyBorder="1"/>
    <xf numFmtId="0" fontId="2" fillId="0" borderId="26" xfId="0" applyFont="1" applyBorder="1"/>
    <xf numFmtId="176" fontId="2" fillId="0" borderId="2" xfId="0" applyNumberFormat="1" applyFont="1" applyBorder="1"/>
    <xf numFmtId="176" fontId="2" fillId="0" borderId="4" xfId="0" applyNumberFormat="1" applyFont="1" applyBorder="1"/>
    <xf numFmtId="176" fontId="3" fillId="0" borderId="5" xfId="0" applyNumberFormat="1" applyFont="1" applyBorder="1"/>
    <xf numFmtId="176" fontId="2" fillId="0" borderId="5" xfId="0" applyNumberFormat="1" applyFont="1" applyBorder="1"/>
    <xf numFmtId="0" fontId="4" fillId="11" borderId="0" xfId="0" applyFont="1" applyFill="1" applyAlignment="1">
      <alignment horizontal="centerContinuous"/>
    </xf>
    <xf numFmtId="178" fontId="4" fillId="11" borderId="0" xfId="0" applyNumberFormat="1" applyFont="1" applyFill="1" applyAlignment="1">
      <alignment horizontal="centerContinuous"/>
    </xf>
    <xf numFmtId="0" fontId="4" fillId="11" borderId="0" xfId="0" applyFont="1" applyFill="1"/>
    <xf numFmtId="14" fontId="2" fillId="0" borderId="0" xfId="2" applyNumberFormat="1" applyFont="1" applyAlignment="1">
      <alignment wrapText="1"/>
    </xf>
    <xf numFmtId="8" fontId="13" fillId="0" borderId="0" xfId="0" applyNumberFormat="1" applyFont="1"/>
    <xf numFmtId="177" fontId="58" fillId="0" borderId="0" xfId="0" applyNumberFormat="1" applyFont="1"/>
    <xf numFmtId="10" fontId="58" fillId="0" borderId="0" xfId="0" applyNumberFormat="1" applyFont="1"/>
    <xf numFmtId="39" fontId="39" fillId="0" borderId="0" xfId="0" applyNumberFormat="1" applyFont="1" applyAlignment="1">
      <alignment horizontal="right"/>
    </xf>
    <xf numFmtId="5" fontId="59" fillId="0" borderId="0" xfId="0" applyNumberFormat="1" applyFont="1" applyAlignment="1">
      <alignment horizontal="right"/>
    </xf>
    <xf numFmtId="10" fontId="60" fillId="0" borderId="0" xfId="0" applyNumberFormat="1" applyFont="1"/>
    <xf numFmtId="10" fontId="58" fillId="0" borderId="0" xfId="0" applyNumberFormat="1" applyFont="1" applyAlignment="1">
      <alignment horizontal="right"/>
    </xf>
    <xf numFmtId="5" fontId="36" fillId="0" borderId="0" xfId="0" applyNumberFormat="1" applyFont="1" applyAlignment="1">
      <alignment horizontal="right"/>
    </xf>
    <xf numFmtId="39" fontId="35" fillId="0" borderId="4" xfId="0" applyNumberFormat="1" applyFont="1" applyBorder="1"/>
    <xf numFmtId="10" fontId="35" fillId="0" borderId="2" xfId="0" applyNumberFormat="1" applyFont="1" applyBorder="1"/>
    <xf numFmtId="175" fontId="35" fillId="0" borderId="0" xfId="0" applyNumberFormat="1" applyFont="1"/>
    <xf numFmtId="166" fontId="35" fillId="4" borderId="0" xfId="0" applyNumberFormat="1" applyFont="1" applyFill="1"/>
    <xf numFmtId="174" fontId="13" fillId="0" borderId="11" xfId="0" applyNumberFormat="1" applyFont="1" applyBorder="1"/>
    <xf numFmtId="176" fontId="6" fillId="0" borderId="13" xfId="0" applyNumberFormat="1" applyFont="1" applyBorder="1"/>
    <xf numFmtId="7" fontId="13" fillId="0" borderId="0" xfId="0" applyNumberFormat="1" applyFont="1"/>
    <xf numFmtId="10" fontId="13" fillId="0" borderId="11" xfId="0" applyNumberFormat="1" applyFont="1" applyBorder="1"/>
    <xf numFmtId="7" fontId="17" fillId="0" borderId="0" xfId="0" applyNumberFormat="1" applyFont="1"/>
    <xf numFmtId="7" fontId="6" fillId="0" borderId="13" xfId="0" applyNumberFormat="1" applyFont="1" applyBorder="1"/>
    <xf numFmtId="0" fontId="2" fillId="0" borderId="27" xfId="0" applyFont="1" applyBorder="1"/>
    <xf numFmtId="0" fontId="3" fillId="0" borderId="1" xfId="0" applyFont="1" applyBorder="1" applyAlignment="1">
      <alignment horizontal="center"/>
    </xf>
    <xf numFmtId="7" fontId="35" fillId="0" borderId="0" xfId="0" applyNumberFormat="1" applyFont="1" applyAlignment="1">
      <alignment horizontal="center"/>
    </xf>
    <xf numFmtId="169" fontId="35" fillId="0" borderId="0" xfId="0" applyNumberFormat="1" applyFont="1"/>
    <xf numFmtId="7" fontId="35" fillId="0" borderId="4" xfId="0" applyNumberFormat="1" applyFont="1" applyBorder="1" applyAlignment="1">
      <alignment horizontal="right"/>
    </xf>
    <xf numFmtId="179" fontId="2" fillId="0" borderId="0" xfId="0" applyNumberFormat="1" applyFont="1"/>
    <xf numFmtId="179" fontId="3" fillId="0" borderId="10" xfId="0" applyNumberFormat="1" applyFont="1" applyBorder="1" applyAlignment="1">
      <alignment horizontal="center"/>
    </xf>
    <xf numFmtId="0" fontId="6" fillId="0" borderId="0" xfId="0" applyFont="1"/>
    <xf numFmtId="2" fontId="13" fillId="0" borderId="7" xfId="0" applyNumberFormat="1" applyFont="1" applyBorder="1"/>
    <xf numFmtId="2" fontId="13" fillId="0" borderId="8" xfId="0" applyNumberFormat="1" applyFont="1" applyBorder="1"/>
    <xf numFmtId="9" fontId="35" fillId="0" borderId="0" xfId="0" applyNumberFormat="1" applyFont="1"/>
    <xf numFmtId="176" fontId="9" fillId="0" borderId="0" xfId="0" applyNumberFormat="1" applyFont="1" applyAlignment="1">
      <alignment horizontal="center"/>
    </xf>
    <xf numFmtId="9" fontId="0" fillId="0" borderId="0" xfId="0" applyNumberFormat="1"/>
    <xf numFmtId="0" fontId="61" fillId="0" borderId="0" xfId="0" applyFont="1" applyAlignment="1">
      <alignment horizontal="left" vertical="center"/>
    </xf>
    <xf numFmtId="0" fontId="61" fillId="0" borderId="0" xfId="0" applyFont="1" applyAlignment="1">
      <alignment horizontal="right" vertical="center"/>
    </xf>
    <xf numFmtId="15" fontId="62" fillId="0" borderId="0" xfId="0" applyNumberFormat="1" applyFont="1" applyAlignment="1">
      <alignment horizontal="left" vertical="center"/>
    </xf>
    <xf numFmtId="0" fontId="62" fillId="0" borderId="0" xfId="0" applyFont="1" applyAlignment="1">
      <alignment horizontal="right" vertical="center"/>
    </xf>
    <xf numFmtId="3" fontId="62" fillId="0" borderId="0" xfId="0" applyNumberFormat="1" applyFont="1" applyAlignment="1">
      <alignment horizontal="right" vertical="center"/>
    </xf>
    <xf numFmtId="0" fontId="3" fillId="4" borderId="8" xfId="0" applyFont="1" applyFill="1" applyBorder="1" applyAlignment="1">
      <alignment horizontal="center"/>
    </xf>
    <xf numFmtId="0" fontId="3" fillId="4" borderId="5" xfId="0" applyFont="1" applyFill="1" applyBorder="1" applyAlignment="1">
      <alignment horizontal="center"/>
    </xf>
    <xf numFmtId="180" fontId="4" fillId="3" borderId="0" xfId="0" applyNumberFormat="1" applyFont="1" applyFill="1" applyAlignment="1">
      <alignment horizontal="center"/>
    </xf>
    <xf numFmtId="180" fontId="4" fillId="3" borderId="4" xfId="0" applyNumberFormat="1" applyFont="1" applyFill="1" applyBorder="1" applyAlignment="1">
      <alignment horizontal="center"/>
    </xf>
    <xf numFmtId="181" fontId="4" fillId="3" borderId="0" xfId="0" applyNumberFormat="1" applyFont="1" applyFill="1" applyAlignment="1">
      <alignment horizontal="center"/>
    </xf>
    <xf numFmtId="0" fontId="17" fillId="0" borderId="11" xfId="0" applyFont="1" applyBorder="1"/>
    <xf numFmtId="10" fontId="17" fillId="0" borderId="11" xfId="0" applyNumberFormat="1" applyFont="1" applyBorder="1"/>
    <xf numFmtId="10" fontId="17" fillId="0" borderId="13" xfId="0" applyNumberFormat="1" applyFont="1" applyBorder="1"/>
    <xf numFmtId="10" fontId="13" fillId="0" borderId="12" xfId="0" applyNumberFormat="1" applyFont="1" applyBorder="1"/>
    <xf numFmtId="10" fontId="13" fillId="0" borderId="5" xfId="0" applyNumberFormat="1" applyFont="1" applyBorder="1"/>
    <xf numFmtId="0" fontId="38" fillId="0" borderId="0" xfId="0" applyFont="1"/>
    <xf numFmtId="10" fontId="17" fillId="0" borderId="12" xfId="0" applyNumberFormat="1" applyFont="1" applyBorder="1"/>
    <xf numFmtId="0" fontId="13" fillId="0" borderId="1" xfId="0" applyFont="1" applyBorder="1" applyAlignment="1">
      <alignment horizontal="center"/>
    </xf>
    <xf numFmtId="10" fontId="9" fillId="0" borderId="1" xfId="0" applyNumberFormat="1" applyFont="1" applyBorder="1" applyAlignment="1">
      <alignment horizontal="center"/>
    </xf>
    <xf numFmtId="10" fontId="2" fillId="4" borderId="0" xfId="0" applyNumberFormat="1" applyFont="1" applyFill="1"/>
    <xf numFmtId="165" fontId="0" fillId="0" borderId="0" xfId="0" applyNumberFormat="1"/>
    <xf numFmtId="5" fontId="0" fillId="0" borderId="0" xfId="0" applyNumberFormat="1"/>
    <xf numFmtId="164" fontId="0" fillId="0" borderId="0" xfId="0" applyNumberFormat="1"/>
    <xf numFmtId="10" fontId="0" fillId="0" borderId="0" xfId="0" applyNumberFormat="1"/>
    <xf numFmtId="0" fontId="8" fillId="0" borderId="0" xfId="0" applyFont="1" applyAlignment="1">
      <alignment horizontal="center"/>
    </xf>
    <xf numFmtId="0" fontId="8" fillId="0" borderId="4" xfId="0" applyFont="1" applyBorder="1" applyAlignment="1">
      <alignment horizontal="center"/>
    </xf>
    <xf numFmtId="0" fontId="3" fillId="0" borderId="0" xfId="0" applyFont="1" applyAlignment="1">
      <alignment horizontal="center"/>
    </xf>
    <xf numFmtId="0" fontId="3" fillId="0" borderId="4" xfId="0" applyFont="1" applyBorder="1" applyAlignment="1">
      <alignment horizontal="center"/>
    </xf>
    <xf numFmtId="0" fontId="2" fillId="0" borderId="0" xfId="0" applyFont="1" applyAlignment="1">
      <alignment horizontal="center"/>
    </xf>
    <xf numFmtId="0" fontId="2" fillId="0" borderId="4" xfId="0" applyFont="1" applyBorder="1" applyAlignment="1">
      <alignment horizontal="center"/>
    </xf>
    <xf numFmtId="0" fontId="4" fillId="3" borderId="12" xfId="0" applyFont="1" applyFill="1" applyBorder="1" applyAlignment="1">
      <alignment horizontal="center"/>
    </xf>
    <xf numFmtId="0" fontId="4" fillId="3" borderId="5" xfId="0" applyFont="1" applyFill="1" applyBorder="1" applyAlignment="1">
      <alignment horizontal="center"/>
    </xf>
    <xf numFmtId="0" fontId="2" fillId="0" borderId="26" xfId="0" applyFont="1" applyBorder="1" applyAlignment="1">
      <alignment horizontal="center"/>
    </xf>
    <xf numFmtId="0" fontId="2" fillId="0" borderId="2" xfId="0" applyFont="1" applyBorder="1" applyAlignment="1">
      <alignment horizontal="center"/>
    </xf>
    <xf numFmtId="0" fontId="2" fillId="0" borderId="12" xfId="0" applyFont="1" applyBorder="1" applyAlignment="1">
      <alignment horizontal="center"/>
    </xf>
    <xf numFmtId="0" fontId="2" fillId="0" borderId="5" xfId="0" applyFont="1" applyBorder="1" applyAlignment="1">
      <alignment horizontal="center"/>
    </xf>
    <xf numFmtId="0" fontId="37" fillId="0" borderId="0" xfId="0" applyFont="1" applyAlignment="1">
      <alignment horizontal="center"/>
    </xf>
    <xf numFmtId="0" fontId="37" fillId="0" borderId="4" xfId="0" applyFont="1" applyBorder="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4" fillId="3" borderId="0" xfId="0" applyFont="1" applyFill="1" applyAlignment="1">
      <alignment horizontal="center"/>
    </xf>
    <xf numFmtId="0" fontId="4" fillId="3" borderId="9" xfId="0" applyFont="1" applyFill="1" applyBorder="1" applyAlignment="1">
      <alignment horizontal="center"/>
    </xf>
    <xf numFmtId="0" fontId="4" fillId="3" borderId="27" xfId="0" applyFont="1" applyFill="1" applyBorder="1" applyAlignment="1">
      <alignment horizontal="center"/>
    </xf>
    <xf numFmtId="0" fontId="4" fillId="3" borderId="10" xfId="0" applyFont="1" applyFill="1" applyBorder="1" applyAlignment="1">
      <alignment horizontal="center"/>
    </xf>
    <xf numFmtId="0" fontId="4" fillId="11" borderId="0" xfId="0" applyFont="1" applyFill="1" applyAlignment="1">
      <alignment horizontal="center"/>
    </xf>
  </cellXfs>
  <cellStyles count="67">
    <cellStyle name="_x000a_bidires=100_x000d_" xfId="19" xr:uid="{7893E9A5-4CA3-4274-8C60-5127FD34C665}"/>
    <cellStyle name="20% - Accent1 2" xfId="20" xr:uid="{DCC57C6E-D708-4C16-BA95-776D511FF2C6}"/>
    <cellStyle name="20% - Accent2 2" xfId="21" xr:uid="{796A9DD8-13D5-448E-9216-2A4C145630D9}"/>
    <cellStyle name="20% - Accent3 2" xfId="22" xr:uid="{709B20D2-EC6D-4B77-9072-EEAD5334AEE5}"/>
    <cellStyle name="20% - Accent4 2" xfId="23" xr:uid="{EA92E730-ABC4-4B38-B998-B239F43F570E}"/>
    <cellStyle name="20% - Accent5 2" xfId="24" xr:uid="{5AB4F6D1-51B4-485E-B90B-C41BA3C37D0F}"/>
    <cellStyle name="20% - Accent6 2" xfId="25" xr:uid="{CB051A78-D11C-4FFB-B262-2C867B51B3D5}"/>
    <cellStyle name="40% - Accent1 2" xfId="26" xr:uid="{E402ADFD-147A-49DE-A9B4-688F52833D6D}"/>
    <cellStyle name="40% - Accent2 2" xfId="27" xr:uid="{79B228E0-1DF5-4C4C-9DBC-5E1CA0BC2D06}"/>
    <cellStyle name="40% - Accent3 2" xfId="28" xr:uid="{55313040-2C20-4B7F-A9DC-E15BB82BA18B}"/>
    <cellStyle name="40% - Accent4 2" xfId="29" xr:uid="{EB0493AC-0621-4BFE-BACF-EC287BFEA454}"/>
    <cellStyle name="40% - Accent5 2" xfId="30" xr:uid="{5281064F-2793-4505-B6C4-7D000558D6EC}"/>
    <cellStyle name="40% - Accent6 2" xfId="31" xr:uid="{2D261A7C-95B1-4CC7-ACA5-DEEF9481B92D}"/>
    <cellStyle name="60% - Accent1 2" xfId="32" xr:uid="{9BC02738-0C8C-4609-A27C-8CDD3D075814}"/>
    <cellStyle name="60% - Accent2 2" xfId="33" xr:uid="{788AE2FA-F954-4B7E-9AC8-F1EC49706A51}"/>
    <cellStyle name="60% - Accent3 2" xfId="34" xr:uid="{6506489A-6C00-4352-A3FE-23DE3176DA3D}"/>
    <cellStyle name="60% - Accent4 2" xfId="35" xr:uid="{511F3EBA-74A5-4997-B97E-84592DB00213}"/>
    <cellStyle name="60% - Accent5 2" xfId="36" xr:uid="{061F4BDC-92DC-41C3-9664-06D4A1F90952}"/>
    <cellStyle name="60% - Accent6 2" xfId="37" xr:uid="{1259849D-D339-4FEF-A76F-4547DE81F1E5}"/>
    <cellStyle name="Accent1 2" xfId="38" xr:uid="{7D3EBAAC-D755-46E1-ACD9-58082A7D0028}"/>
    <cellStyle name="Accent2 2" xfId="39" xr:uid="{C86C7167-2A6F-41CF-BA32-00C79EDF6710}"/>
    <cellStyle name="Accent3 2" xfId="40" xr:uid="{F37DFC66-0678-4E0B-993A-C5EAAFAE6C25}"/>
    <cellStyle name="Accent4 2" xfId="41" xr:uid="{6DF137E6-BB75-4DFB-9E64-AE27EDF4C9C0}"/>
    <cellStyle name="Accent5 2" xfId="42" xr:uid="{13A3440D-0591-488F-998D-F10C0B2022C6}"/>
    <cellStyle name="Accent6 2" xfId="43" xr:uid="{21BC51EA-25AE-45A1-830F-69921580A9D5}"/>
    <cellStyle name="Bad 2" xfId="44" xr:uid="{3D0D7631-B9E4-4C19-948A-E7ADB7C453EB}"/>
    <cellStyle name="Calculation 2" xfId="45" xr:uid="{DB8792A4-D2A9-47E4-80F9-94564FA366DB}"/>
    <cellStyle name="ChartingText" xfId="16" xr:uid="{D82E97E6-675C-4CE5-8660-E084BC75B66F}"/>
    <cellStyle name="Check Cell 2" xfId="46" xr:uid="{63E19C3B-FD51-4829-8308-EB27E08B9CDB}"/>
    <cellStyle name="CHPAboveAverage" xfId="17" xr:uid="{5394C01F-2333-41D9-B9BC-D1BA65D61EBE}"/>
    <cellStyle name="CHPBelowAverage" xfId="17" xr:uid="{34961112-754F-483B-B7C7-E88A3F18016B}"/>
    <cellStyle name="CHPBottom" xfId="17" xr:uid="{338438D0-6EF4-4537-AD1B-E05C4D49F187}"/>
    <cellStyle name="CHPTop" xfId="17" xr:uid="{C36D4174-D1C6-4166-9C63-70867E6EA833}"/>
    <cellStyle name="ColumnHeaderNormal" xfId="8" xr:uid="{91E446FF-CC18-4F0C-B3D7-B00D103DAF61}"/>
    <cellStyle name="Explanatory Text 2" xfId="47" xr:uid="{C2092C35-9817-465E-BA58-5B5A83B7D421}"/>
    <cellStyle name="Good 2" xfId="48" xr:uid="{3B2905B5-9FDB-48A8-AC0A-C5273EBA20E6}"/>
    <cellStyle name="Heading 1 2" xfId="49" xr:uid="{91D0E9DB-AF73-47FC-8E01-279B8A6D6F9A}"/>
    <cellStyle name="Heading 2 2" xfId="50" xr:uid="{C0B73AC6-7103-4B8F-847E-4D917422B18A}"/>
    <cellStyle name="Heading 3 2" xfId="51" xr:uid="{EE0D71CE-C13C-4485-A53A-1ADFE9CDC266}"/>
    <cellStyle name="Heading 4 2" xfId="52" xr:uid="{E70A1850-A4D9-44EE-89DF-E6D28CD7B69A}"/>
    <cellStyle name="Input 2" xfId="53" xr:uid="{B28E7065-6D75-4D00-A6B2-FCC6363EBAD6}"/>
    <cellStyle name="Invisible" xfId="15" xr:uid="{F015CE25-5857-4246-B725-EC8006DCD0D5}"/>
    <cellStyle name="Linked Cell 2" xfId="54" xr:uid="{5D198E1C-F366-4D9D-8F0D-C644A42D560A}"/>
    <cellStyle name="Neutral 2" xfId="55" xr:uid="{9D98B195-D2CC-47DE-BE44-302E60256C9D}"/>
    <cellStyle name="NewColumnHeaderNormal" xfId="6" xr:uid="{91DE6653-7693-43EC-B465-3D398B02BC59}"/>
    <cellStyle name="NewSectionHeaderNormal" xfId="5" xr:uid="{95F56D6B-9681-4BBB-BFC0-FA27050A788A}"/>
    <cellStyle name="NewTitleNormal" xfId="4" xr:uid="{3420BE51-58F9-4643-946E-49F75A8F8200}"/>
    <cellStyle name="Normal" xfId="0" builtinId="0"/>
    <cellStyle name="Normal 2" xfId="1" xr:uid="{E53957E9-7C91-4AD2-BD30-6F8DA7EDB545}"/>
    <cellStyle name="Normal 3" xfId="2" xr:uid="{016E5E90-CF82-4743-BBF8-BD1EF5A7BB30}"/>
    <cellStyle name="Normal 4" xfId="18" xr:uid="{A297D52B-485D-4D38-8DAC-4B0801E850A8}"/>
    <cellStyle name="Note 2" xfId="56" xr:uid="{5B97E0CC-A9D9-463F-878E-A0BF32408476}"/>
    <cellStyle name="Output 2" xfId="57" xr:uid="{4434FD87-D7DD-4FFB-BD05-AC9042BF257C}"/>
    <cellStyle name="SectionHeaderNormal" xfId="7" xr:uid="{2BDE1D73-34B6-46E5-9F31-2550C83EB9E7}"/>
    <cellStyle name="Style 1" xfId="58" xr:uid="{67DE857F-6E65-48B4-929D-4B76DC03541B}"/>
    <cellStyle name="Style 1 2" xfId="63" xr:uid="{040915E2-5DE6-4026-8769-5050649D004D}"/>
    <cellStyle name="SubScript" xfId="11" xr:uid="{3BD28C4F-535C-433C-B69B-17BCF28E06B9}"/>
    <cellStyle name="SuperScript" xfId="10" xr:uid="{45D6730D-2BBC-42CA-8170-C576A3BE2553}"/>
    <cellStyle name="TextBold" xfId="12" xr:uid="{4DC11335-4F6F-49A9-8734-495F32DF26C7}"/>
    <cellStyle name="TextItalic" xfId="13" xr:uid="{BF0BDE10-06E6-4959-A420-3D00687AB24D}"/>
    <cellStyle name="TextNormal" xfId="9" xr:uid="{7A44B172-0458-4D09-8B20-A36941261027}"/>
    <cellStyle name="Title 2" xfId="59" xr:uid="{BD178732-D067-47B6-827F-F424D52BEBB9}"/>
    <cellStyle name="TitleNormal" xfId="3" xr:uid="{2E76FA4C-1B05-4131-AE58-1CDC65241E94}"/>
    <cellStyle name="Total 2" xfId="14" xr:uid="{0CA1E525-B72F-4F74-A3BE-D990F18E02B1}"/>
    <cellStyle name="Total 3" xfId="60" xr:uid="{D7F75F02-C692-41EE-AA8F-1E1DBC4E7C6A}"/>
    <cellStyle name="Warning Text 2" xfId="61" xr:uid="{357D2704-B541-49E6-80AC-CF993B8E2A23}"/>
    <cellStyle name="Обычный_RTS_select_issues" xfId="62" xr:uid="{FFC9F188-E286-4FDA-96CF-C5923336EA5C}"/>
  </cellStyles>
  <dxfs count="0"/>
  <tableStyles count="0" defaultTableStyle="TableStyleMedium2" defaultPivotStyle="PivotStyleLight16"/>
  <colors>
    <mruColors>
      <color rgb="FF009B00"/>
      <color rgb="FF0000FF"/>
      <color rgb="FF006938"/>
      <color rgb="FF003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Graphs!$A$1</c:f>
              <c:strCache>
                <c:ptCount val="1"/>
                <c:pt idx="0">
                  <c:v>BUY</c:v>
                </c:pt>
              </c:strCache>
            </c:strRef>
          </c:tx>
          <c:spPr>
            <a:solidFill>
              <a:schemeClr val="accent1"/>
            </a:solidFill>
            <a:ln>
              <a:noFill/>
            </a:ln>
            <a:effectLst/>
          </c:spPr>
          <c:invertIfNegative val="0"/>
          <c:dPt>
            <c:idx val="0"/>
            <c:invertIfNegative val="0"/>
            <c:bubble3D val="0"/>
            <c:spPr>
              <a:solidFill>
                <a:srgbClr val="009B00"/>
              </a:solidFill>
              <a:ln>
                <a:noFill/>
              </a:ln>
              <a:effectLst/>
            </c:spPr>
            <c:extLst>
              <c:ext xmlns:c16="http://schemas.microsoft.com/office/drawing/2014/chart" uri="{C3380CC4-5D6E-409C-BE32-E72D297353CC}">
                <c16:uniqueId val="{00000002-7917-4FBC-85FD-7BDB99B316E8}"/>
              </c:ext>
            </c:extLst>
          </c:dPt>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Graphs!$B$1</c:f>
              <c:numCache>
                <c:formatCode>0%</c:formatCode>
                <c:ptCount val="1"/>
                <c:pt idx="0">
                  <c:v>0.8</c:v>
                </c:pt>
              </c:numCache>
            </c:numRef>
          </c:val>
          <c:extLst>
            <c:ext xmlns:c16="http://schemas.microsoft.com/office/drawing/2014/chart" uri="{C3380CC4-5D6E-409C-BE32-E72D297353CC}">
              <c16:uniqueId val="{00000000-7917-4FBC-85FD-7BDB99B316E8}"/>
            </c:ext>
          </c:extLst>
        </c:ser>
        <c:ser>
          <c:idx val="1"/>
          <c:order val="1"/>
          <c:tx>
            <c:strRef>
              <c:f>Graphs!$A$2</c:f>
              <c:strCache>
                <c:ptCount val="1"/>
                <c:pt idx="0">
                  <c:v>HOLD</c:v>
                </c:pt>
              </c:strCache>
            </c:strRef>
          </c:tx>
          <c:spPr>
            <a:solidFill>
              <a:srgbClr val="FFFF00"/>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Graphs!$B$2</c:f>
              <c:numCache>
                <c:formatCode>0%</c:formatCode>
                <c:ptCount val="1"/>
                <c:pt idx="0">
                  <c:v>0.2</c:v>
                </c:pt>
              </c:numCache>
            </c:numRef>
          </c:val>
          <c:extLst>
            <c:ext xmlns:c16="http://schemas.microsoft.com/office/drawing/2014/chart" uri="{C3380CC4-5D6E-409C-BE32-E72D297353CC}">
              <c16:uniqueId val="{00000001-7917-4FBC-85FD-7BDB99B316E8}"/>
            </c:ext>
          </c:extLst>
        </c:ser>
        <c:dLbls>
          <c:dLblPos val="ctr"/>
          <c:showLegendKey val="0"/>
          <c:showVal val="1"/>
          <c:showCatName val="0"/>
          <c:showSerName val="0"/>
          <c:showPercent val="0"/>
          <c:showBubbleSize val="0"/>
        </c:dLbls>
        <c:gapWidth val="150"/>
        <c:overlap val="100"/>
        <c:axId val="2068630368"/>
        <c:axId val="2070583632"/>
      </c:barChart>
      <c:catAx>
        <c:axId val="2068630368"/>
        <c:scaling>
          <c:orientation val="minMax"/>
        </c:scaling>
        <c:delete val="1"/>
        <c:axPos val="l"/>
        <c:numFmt formatCode="General" sourceLinked="1"/>
        <c:majorTickMark val="none"/>
        <c:minorTickMark val="none"/>
        <c:tickLblPos val="nextTo"/>
        <c:crossAx val="2070583632"/>
        <c:crosses val="autoZero"/>
        <c:auto val="1"/>
        <c:lblAlgn val="ctr"/>
        <c:lblOffset val="100"/>
        <c:noMultiLvlLbl val="0"/>
      </c:catAx>
      <c:valAx>
        <c:axId val="2070583632"/>
        <c:scaling>
          <c:orientation val="minMax"/>
          <c:max val="1"/>
        </c:scaling>
        <c:delete val="1"/>
        <c:axPos val="b"/>
        <c:numFmt formatCode="0%" sourceLinked="1"/>
        <c:majorTickMark val="none"/>
        <c:minorTickMark val="none"/>
        <c:tickLblPos val="nextTo"/>
        <c:crossAx val="20686303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Graphs!$M$20</c:f>
              <c:strCache>
                <c:ptCount val="1"/>
                <c:pt idx="0">
                  <c:v>Volume</c:v>
                </c:pt>
              </c:strCache>
            </c:strRef>
          </c:tx>
          <c:spPr>
            <a:solidFill>
              <a:schemeClr val="bg1">
                <a:lumMod val="85000"/>
              </a:schemeClr>
            </a:solidFill>
            <a:ln>
              <a:noFill/>
            </a:ln>
            <a:effectLst/>
          </c:spPr>
          <c:invertIfNegative val="0"/>
          <c:cat>
            <c:numRef>
              <c:f>Graphs!$K$21:$K$270</c:f>
              <c:numCache>
                <c:formatCode>d\-mmm\-yy</c:formatCode>
                <c:ptCount val="250"/>
                <c:pt idx="0">
                  <c:v>46248</c:v>
                </c:pt>
                <c:pt idx="1">
                  <c:v>46247</c:v>
                </c:pt>
                <c:pt idx="2">
                  <c:v>46246</c:v>
                </c:pt>
                <c:pt idx="3">
                  <c:v>46245</c:v>
                </c:pt>
                <c:pt idx="4">
                  <c:v>46244</c:v>
                </c:pt>
                <c:pt idx="5">
                  <c:v>46241</c:v>
                </c:pt>
                <c:pt idx="6">
                  <c:v>46240</c:v>
                </c:pt>
                <c:pt idx="7">
                  <c:v>46239</c:v>
                </c:pt>
                <c:pt idx="8">
                  <c:v>46238</c:v>
                </c:pt>
                <c:pt idx="9">
                  <c:v>46237</c:v>
                </c:pt>
                <c:pt idx="10">
                  <c:v>46234</c:v>
                </c:pt>
                <c:pt idx="11">
                  <c:v>46233</c:v>
                </c:pt>
                <c:pt idx="12">
                  <c:v>46232</c:v>
                </c:pt>
                <c:pt idx="13">
                  <c:v>46231</c:v>
                </c:pt>
                <c:pt idx="14">
                  <c:v>46230</c:v>
                </c:pt>
                <c:pt idx="15">
                  <c:v>46227</c:v>
                </c:pt>
                <c:pt idx="16">
                  <c:v>46226</c:v>
                </c:pt>
                <c:pt idx="17">
                  <c:v>46225</c:v>
                </c:pt>
                <c:pt idx="18">
                  <c:v>46224</c:v>
                </c:pt>
                <c:pt idx="19">
                  <c:v>46223</c:v>
                </c:pt>
                <c:pt idx="20">
                  <c:v>46220</c:v>
                </c:pt>
                <c:pt idx="21">
                  <c:v>46219</c:v>
                </c:pt>
                <c:pt idx="22">
                  <c:v>46218</c:v>
                </c:pt>
                <c:pt idx="23">
                  <c:v>46217</c:v>
                </c:pt>
                <c:pt idx="24">
                  <c:v>46216</c:v>
                </c:pt>
                <c:pt idx="25">
                  <c:v>46213</c:v>
                </c:pt>
                <c:pt idx="26">
                  <c:v>46212</c:v>
                </c:pt>
                <c:pt idx="27">
                  <c:v>46211</c:v>
                </c:pt>
                <c:pt idx="28">
                  <c:v>46210</c:v>
                </c:pt>
                <c:pt idx="29">
                  <c:v>46209</c:v>
                </c:pt>
                <c:pt idx="30">
                  <c:v>46205</c:v>
                </c:pt>
                <c:pt idx="31">
                  <c:v>46204</c:v>
                </c:pt>
                <c:pt idx="32">
                  <c:v>46203</c:v>
                </c:pt>
                <c:pt idx="33">
                  <c:v>46202</c:v>
                </c:pt>
                <c:pt idx="34">
                  <c:v>46199</c:v>
                </c:pt>
                <c:pt idx="35">
                  <c:v>46198</c:v>
                </c:pt>
                <c:pt idx="36">
                  <c:v>46197</c:v>
                </c:pt>
                <c:pt idx="37">
                  <c:v>46196</c:v>
                </c:pt>
                <c:pt idx="38">
                  <c:v>46195</c:v>
                </c:pt>
                <c:pt idx="39">
                  <c:v>46191</c:v>
                </c:pt>
                <c:pt idx="40">
                  <c:v>46190</c:v>
                </c:pt>
                <c:pt idx="41">
                  <c:v>46189</c:v>
                </c:pt>
                <c:pt idx="42">
                  <c:v>46188</c:v>
                </c:pt>
                <c:pt idx="43">
                  <c:v>46185</c:v>
                </c:pt>
                <c:pt idx="44">
                  <c:v>46184</c:v>
                </c:pt>
                <c:pt idx="45">
                  <c:v>46183</c:v>
                </c:pt>
                <c:pt idx="46">
                  <c:v>46182</c:v>
                </c:pt>
                <c:pt idx="47">
                  <c:v>46181</c:v>
                </c:pt>
                <c:pt idx="48">
                  <c:v>46178</c:v>
                </c:pt>
                <c:pt idx="49">
                  <c:v>46177</c:v>
                </c:pt>
                <c:pt idx="50">
                  <c:v>46176</c:v>
                </c:pt>
                <c:pt idx="51">
                  <c:v>46175</c:v>
                </c:pt>
                <c:pt idx="52">
                  <c:v>46174</c:v>
                </c:pt>
                <c:pt idx="53">
                  <c:v>46171</c:v>
                </c:pt>
                <c:pt idx="54">
                  <c:v>46170</c:v>
                </c:pt>
                <c:pt idx="55">
                  <c:v>46169</c:v>
                </c:pt>
                <c:pt idx="56">
                  <c:v>46168</c:v>
                </c:pt>
                <c:pt idx="57">
                  <c:v>46164</c:v>
                </c:pt>
                <c:pt idx="58">
                  <c:v>46163</c:v>
                </c:pt>
                <c:pt idx="59">
                  <c:v>46162</c:v>
                </c:pt>
                <c:pt idx="60">
                  <c:v>46161</c:v>
                </c:pt>
                <c:pt idx="61">
                  <c:v>46160</c:v>
                </c:pt>
                <c:pt idx="62">
                  <c:v>46157</c:v>
                </c:pt>
                <c:pt idx="63">
                  <c:v>46156</c:v>
                </c:pt>
                <c:pt idx="64">
                  <c:v>46155</c:v>
                </c:pt>
                <c:pt idx="65">
                  <c:v>46154</c:v>
                </c:pt>
                <c:pt idx="66">
                  <c:v>46153</c:v>
                </c:pt>
                <c:pt idx="67">
                  <c:v>46150</c:v>
                </c:pt>
                <c:pt idx="68">
                  <c:v>46149</c:v>
                </c:pt>
                <c:pt idx="69">
                  <c:v>46148</c:v>
                </c:pt>
                <c:pt idx="70">
                  <c:v>46147</c:v>
                </c:pt>
                <c:pt idx="71">
                  <c:v>46146</c:v>
                </c:pt>
                <c:pt idx="72">
                  <c:v>46143</c:v>
                </c:pt>
                <c:pt idx="73">
                  <c:v>46142</c:v>
                </c:pt>
                <c:pt idx="74">
                  <c:v>46141</c:v>
                </c:pt>
                <c:pt idx="75">
                  <c:v>46140</c:v>
                </c:pt>
                <c:pt idx="76">
                  <c:v>46139</c:v>
                </c:pt>
                <c:pt idx="77">
                  <c:v>46136</c:v>
                </c:pt>
                <c:pt idx="78">
                  <c:v>46135</c:v>
                </c:pt>
                <c:pt idx="79">
                  <c:v>46134</c:v>
                </c:pt>
                <c:pt idx="80">
                  <c:v>46133</c:v>
                </c:pt>
                <c:pt idx="81">
                  <c:v>46132</c:v>
                </c:pt>
                <c:pt idx="82">
                  <c:v>46129</c:v>
                </c:pt>
                <c:pt idx="83">
                  <c:v>46128</c:v>
                </c:pt>
                <c:pt idx="84">
                  <c:v>46127</c:v>
                </c:pt>
                <c:pt idx="85">
                  <c:v>46126</c:v>
                </c:pt>
                <c:pt idx="86">
                  <c:v>46125</c:v>
                </c:pt>
                <c:pt idx="87">
                  <c:v>46122</c:v>
                </c:pt>
                <c:pt idx="88">
                  <c:v>46121</c:v>
                </c:pt>
                <c:pt idx="89">
                  <c:v>46120</c:v>
                </c:pt>
                <c:pt idx="90">
                  <c:v>46119</c:v>
                </c:pt>
                <c:pt idx="91">
                  <c:v>46118</c:v>
                </c:pt>
                <c:pt idx="92">
                  <c:v>46114</c:v>
                </c:pt>
                <c:pt idx="93">
                  <c:v>46113</c:v>
                </c:pt>
                <c:pt idx="94">
                  <c:v>46112</c:v>
                </c:pt>
                <c:pt idx="95">
                  <c:v>46111</c:v>
                </c:pt>
                <c:pt idx="96">
                  <c:v>46108</c:v>
                </c:pt>
                <c:pt idx="97">
                  <c:v>46107</c:v>
                </c:pt>
                <c:pt idx="98">
                  <c:v>46106</c:v>
                </c:pt>
                <c:pt idx="99">
                  <c:v>46105</c:v>
                </c:pt>
                <c:pt idx="100">
                  <c:v>46104</c:v>
                </c:pt>
                <c:pt idx="101">
                  <c:v>46101</c:v>
                </c:pt>
                <c:pt idx="102">
                  <c:v>46100</c:v>
                </c:pt>
                <c:pt idx="103">
                  <c:v>46099</c:v>
                </c:pt>
                <c:pt idx="104">
                  <c:v>46098</c:v>
                </c:pt>
                <c:pt idx="105">
                  <c:v>46097</c:v>
                </c:pt>
                <c:pt idx="106">
                  <c:v>46094</c:v>
                </c:pt>
                <c:pt idx="107">
                  <c:v>46093</c:v>
                </c:pt>
                <c:pt idx="108">
                  <c:v>46092</c:v>
                </c:pt>
                <c:pt idx="109">
                  <c:v>46091</c:v>
                </c:pt>
                <c:pt idx="110">
                  <c:v>46090</c:v>
                </c:pt>
                <c:pt idx="111">
                  <c:v>46087</c:v>
                </c:pt>
                <c:pt idx="112">
                  <c:v>46086</c:v>
                </c:pt>
                <c:pt idx="113">
                  <c:v>46085</c:v>
                </c:pt>
                <c:pt idx="114">
                  <c:v>46084</c:v>
                </c:pt>
                <c:pt idx="115">
                  <c:v>46083</c:v>
                </c:pt>
                <c:pt idx="116">
                  <c:v>46080</c:v>
                </c:pt>
                <c:pt idx="117">
                  <c:v>46079</c:v>
                </c:pt>
                <c:pt idx="118">
                  <c:v>46078</c:v>
                </c:pt>
                <c:pt idx="119">
                  <c:v>46077</c:v>
                </c:pt>
                <c:pt idx="120">
                  <c:v>46076</c:v>
                </c:pt>
                <c:pt idx="121">
                  <c:v>46073</c:v>
                </c:pt>
                <c:pt idx="122">
                  <c:v>46072</c:v>
                </c:pt>
                <c:pt idx="123">
                  <c:v>46071</c:v>
                </c:pt>
                <c:pt idx="124">
                  <c:v>46070</c:v>
                </c:pt>
                <c:pt idx="125">
                  <c:v>46066</c:v>
                </c:pt>
                <c:pt idx="126">
                  <c:v>46065</c:v>
                </c:pt>
                <c:pt idx="127">
                  <c:v>46064</c:v>
                </c:pt>
                <c:pt idx="128">
                  <c:v>46063</c:v>
                </c:pt>
                <c:pt idx="129">
                  <c:v>46062</c:v>
                </c:pt>
                <c:pt idx="130">
                  <c:v>46059</c:v>
                </c:pt>
                <c:pt idx="131">
                  <c:v>46058</c:v>
                </c:pt>
                <c:pt idx="132">
                  <c:v>46057</c:v>
                </c:pt>
                <c:pt idx="133">
                  <c:v>46056</c:v>
                </c:pt>
                <c:pt idx="134">
                  <c:v>46055</c:v>
                </c:pt>
                <c:pt idx="135">
                  <c:v>46052</c:v>
                </c:pt>
                <c:pt idx="136">
                  <c:v>46051</c:v>
                </c:pt>
                <c:pt idx="137">
                  <c:v>46050</c:v>
                </c:pt>
                <c:pt idx="138">
                  <c:v>46049</c:v>
                </c:pt>
                <c:pt idx="139">
                  <c:v>46048</c:v>
                </c:pt>
                <c:pt idx="140">
                  <c:v>46045</c:v>
                </c:pt>
                <c:pt idx="141">
                  <c:v>46044</c:v>
                </c:pt>
                <c:pt idx="142">
                  <c:v>46043</c:v>
                </c:pt>
                <c:pt idx="143">
                  <c:v>46042</c:v>
                </c:pt>
                <c:pt idx="144">
                  <c:v>46038</c:v>
                </c:pt>
                <c:pt idx="145">
                  <c:v>46037</c:v>
                </c:pt>
                <c:pt idx="146">
                  <c:v>46036</c:v>
                </c:pt>
                <c:pt idx="147">
                  <c:v>46035</c:v>
                </c:pt>
                <c:pt idx="148">
                  <c:v>46034</c:v>
                </c:pt>
                <c:pt idx="149">
                  <c:v>46031</c:v>
                </c:pt>
                <c:pt idx="150">
                  <c:v>46030</c:v>
                </c:pt>
                <c:pt idx="151">
                  <c:v>46029</c:v>
                </c:pt>
                <c:pt idx="152">
                  <c:v>46028</c:v>
                </c:pt>
                <c:pt idx="153">
                  <c:v>46027</c:v>
                </c:pt>
                <c:pt idx="154">
                  <c:v>46024</c:v>
                </c:pt>
                <c:pt idx="155">
                  <c:v>46022</c:v>
                </c:pt>
                <c:pt idx="156">
                  <c:v>46021</c:v>
                </c:pt>
                <c:pt idx="157">
                  <c:v>46020</c:v>
                </c:pt>
                <c:pt idx="158">
                  <c:v>46017</c:v>
                </c:pt>
                <c:pt idx="159">
                  <c:v>46015</c:v>
                </c:pt>
                <c:pt idx="160">
                  <c:v>46014</c:v>
                </c:pt>
                <c:pt idx="161">
                  <c:v>46013</c:v>
                </c:pt>
                <c:pt idx="162">
                  <c:v>46010</c:v>
                </c:pt>
                <c:pt idx="163">
                  <c:v>46009</c:v>
                </c:pt>
                <c:pt idx="164">
                  <c:v>46008</c:v>
                </c:pt>
                <c:pt idx="165">
                  <c:v>46007</c:v>
                </c:pt>
                <c:pt idx="166">
                  <c:v>46006</c:v>
                </c:pt>
                <c:pt idx="167">
                  <c:v>46003</c:v>
                </c:pt>
                <c:pt idx="168">
                  <c:v>46002</c:v>
                </c:pt>
                <c:pt idx="169">
                  <c:v>46001</c:v>
                </c:pt>
                <c:pt idx="170">
                  <c:v>46000</c:v>
                </c:pt>
                <c:pt idx="171">
                  <c:v>45999</c:v>
                </c:pt>
                <c:pt idx="172">
                  <c:v>45996</c:v>
                </c:pt>
                <c:pt idx="173">
                  <c:v>45995</c:v>
                </c:pt>
                <c:pt idx="174">
                  <c:v>45994</c:v>
                </c:pt>
                <c:pt idx="175">
                  <c:v>45993</c:v>
                </c:pt>
                <c:pt idx="176">
                  <c:v>45992</c:v>
                </c:pt>
                <c:pt idx="177">
                  <c:v>45989</c:v>
                </c:pt>
                <c:pt idx="178">
                  <c:v>45987</c:v>
                </c:pt>
                <c:pt idx="179">
                  <c:v>45986</c:v>
                </c:pt>
                <c:pt idx="180">
                  <c:v>45985</c:v>
                </c:pt>
                <c:pt idx="181">
                  <c:v>45982</c:v>
                </c:pt>
                <c:pt idx="182">
                  <c:v>45981</c:v>
                </c:pt>
                <c:pt idx="183">
                  <c:v>45980</c:v>
                </c:pt>
                <c:pt idx="184">
                  <c:v>45979</c:v>
                </c:pt>
                <c:pt idx="185">
                  <c:v>45978</c:v>
                </c:pt>
                <c:pt idx="186">
                  <c:v>45975</c:v>
                </c:pt>
                <c:pt idx="187">
                  <c:v>45974</c:v>
                </c:pt>
                <c:pt idx="188">
                  <c:v>45973</c:v>
                </c:pt>
                <c:pt idx="189">
                  <c:v>45972</c:v>
                </c:pt>
                <c:pt idx="190">
                  <c:v>45971</c:v>
                </c:pt>
                <c:pt idx="191">
                  <c:v>45968</c:v>
                </c:pt>
                <c:pt idx="192">
                  <c:v>45967</c:v>
                </c:pt>
                <c:pt idx="193">
                  <c:v>45966</c:v>
                </c:pt>
                <c:pt idx="194">
                  <c:v>45965</c:v>
                </c:pt>
                <c:pt idx="195">
                  <c:v>45964</c:v>
                </c:pt>
                <c:pt idx="196">
                  <c:v>45961</c:v>
                </c:pt>
                <c:pt idx="197">
                  <c:v>45960</c:v>
                </c:pt>
                <c:pt idx="198">
                  <c:v>45959</c:v>
                </c:pt>
                <c:pt idx="199">
                  <c:v>45958</c:v>
                </c:pt>
                <c:pt idx="200">
                  <c:v>45957</c:v>
                </c:pt>
                <c:pt idx="201">
                  <c:v>45954</c:v>
                </c:pt>
                <c:pt idx="202">
                  <c:v>45953</c:v>
                </c:pt>
                <c:pt idx="203">
                  <c:v>45952</c:v>
                </c:pt>
                <c:pt idx="204">
                  <c:v>45951</c:v>
                </c:pt>
                <c:pt idx="205">
                  <c:v>45950</c:v>
                </c:pt>
                <c:pt idx="206">
                  <c:v>45947</c:v>
                </c:pt>
                <c:pt idx="207">
                  <c:v>45946</c:v>
                </c:pt>
                <c:pt idx="208">
                  <c:v>45945</c:v>
                </c:pt>
                <c:pt idx="209">
                  <c:v>45944</c:v>
                </c:pt>
                <c:pt idx="210">
                  <c:v>45943</c:v>
                </c:pt>
                <c:pt idx="211">
                  <c:v>45940</c:v>
                </c:pt>
                <c:pt idx="212">
                  <c:v>45939</c:v>
                </c:pt>
                <c:pt idx="213">
                  <c:v>45938</c:v>
                </c:pt>
                <c:pt idx="214">
                  <c:v>45937</c:v>
                </c:pt>
                <c:pt idx="215">
                  <c:v>45936</c:v>
                </c:pt>
                <c:pt idx="216">
                  <c:v>45933</c:v>
                </c:pt>
                <c:pt idx="217">
                  <c:v>45932</c:v>
                </c:pt>
                <c:pt idx="218">
                  <c:v>45931</c:v>
                </c:pt>
                <c:pt idx="219">
                  <c:v>45930</c:v>
                </c:pt>
                <c:pt idx="220">
                  <c:v>45929</c:v>
                </c:pt>
                <c:pt idx="221">
                  <c:v>45926</c:v>
                </c:pt>
                <c:pt idx="222">
                  <c:v>45925</c:v>
                </c:pt>
                <c:pt idx="223">
                  <c:v>45924</c:v>
                </c:pt>
                <c:pt idx="224">
                  <c:v>45923</c:v>
                </c:pt>
                <c:pt idx="225">
                  <c:v>45922</c:v>
                </c:pt>
                <c:pt idx="226">
                  <c:v>45919</c:v>
                </c:pt>
                <c:pt idx="227">
                  <c:v>45918</c:v>
                </c:pt>
                <c:pt idx="228">
                  <c:v>45917</c:v>
                </c:pt>
                <c:pt idx="229">
                  <c:v>45916</c:v>
                </c:pt>
                <c:pt idx="230">
                  <c:v>45915</c:v>
                </c:pt>
                <c:pt idx="231">
                  <c:v>45912</c:v>
                </c:pt>
                <c:pt idx="232">
                  <c:v>45911</c:v>
                </c:pt>
                <c:pt idx="233">
                  <c:v>45910</c:v>
                </c:pt>
                <c:pt idx="234">
                  <c:v>45909</c:v>
                </c:pt>
                <c:pt idx="235">
                  <c:v>45908</c:v>
                </c:pt>
                <c:pt idx="236">
                  <c:v>45905</c:v>
                </c:pt>
                <c:pt idx="237">
                  <c:v>45904</c:v>
                </c:pt>
                <c:pt idx="238">
                  <c:v>45903</c:v>
                </c:pt>
                <c:pt idx="239">
                  <c:v>45902</c:v>
                </c:pt>
                <c:pt idx="240">
                  <c:v>45898</c:v>
                </c:pt>
                <c:pt idx="241">
                  <c:v>45897</c:v>
                </c:pt>
                <c:pt idx="242">
                  <c:v>45896</c:v>
                </c:pt>
                <c:pt idx="243">
                  <c:v>45895</c:v>
                </c:pt>
                <c:pt idx="244">
                  <c:v>45894</c:v>
                </c:pt>
                <c:pt idx="245">
                  <c:v>45891</c:v>
                </c:pt>
                <c:pt idx="246">
                  <c:v>45890</c:v>
                </c:pt>
                <c:pt idx="247">
                  <c:v>45889</c:v>
                </c:pt>
                <c:pt idx="248">
                  <c:v>45888</c:v>
                </c:pt>
                <c:pt idx="249">
                  <c:v>45887</c:v>
                </c:pt>
              </c:numCache>
            </c:numRef>
          </c:cat>
          <c:val>
            <c:numRef>
              <c:f>Graphs!$M$21:$M$270</c:f>
              <c:numCache>
                <c:formatCode>#,##0</c:formatCode>
                <c:ptCount val="250"/>
                <c:pt idx="0">
                  <c:v>1580300</c:v>
                </c:pt>
                <c:pt idx="1">
                  <c:v>1105100</c:v>
                </c:pt>
                <c:pt idx="2">
                  <c:v>1306700</c:v>
                </c:pt>
                <c:pt idx="3">
                  <c:v>1274800</c:v>
                </c:pt>
                <c:pt idx="4">
                  <c:v>1150400</c:v>
                </c:pt>
                <c:pt idx="5">
                  <c:v>1193000</c:v>
                </c:pt>
                <c:pt idx="6">
                  <c:v>1480200</c:v>
                </c:pt>
                <c:pt idx="7">
                  <c:v>1322700</c:v>
                </c:pt>
                <c:pt idx="8">
                  <c:v>1863400</c:v>
                </c:pt>
                <c:pt idx="9">
                  <c:v>1502800</c:v>
                </c:pt>
                <c:pt idx="10">
                  <c:v>1175800</c:v>
                </c:pt>
                <c:pt idx="11">
                  <c:v>1929400</c:v>
                </c:pt>
                <c:pt idx="12">
                  <c:v>2648500</c:v>
                </c:pt>
                <c:pt idx="13">
                  <c:v>2121700</c:v>
                </c:pt>
                <c:pt idx="14">
                  <c:v>1109000</c:v>
                </c:pt>
                <c:pt idx="15">
                  <c:v>971900</c:v>
                </c:pt>
                <c:pt idx="16">
                  <c:v>611800</c:v>
                </c:pt>
                <c:pt idx="17">
                  <c:v>1199800</c:v>
                </c:pt>
                <c:pt idx="18">
                  <c:v>1286200</c:v>
                </c:pt>
                <c:pt idx="19">
                  <c:v>1034100</c:v>
                </c:pt>
                <c:pt idx="20">
                  <c:v>802000</c:v>
                </c:pt>
                <c:pt idx="21">
                  <c:v>898200</c:v>
                </c:pt>
                <c:pt idx="22">
                  <c:v>801700</c:v>
                </c:pt>
                <c:pt idx="23">
                  <c:v>1209700</c:v>
                </c:pt>
                <c:pt idx="24">
                  <c:v>1305200</c:v>
                </c:pt>
                <c:pt idx="25">
                  <c:v>1409500</c:v>
                </c:pt>
                <c:pt idx="26">
                  <c:v>873600</c:v>
                </c:pt>
                <c:pt idx="27">
                  <c:v>1840700</c:v>
                </c:pt>
                <c:pt idx="28">
                  <c:v>825700</c:v>
                </c:pt>
                <c:pt idx="29">
                  <c:v>939000</c:v>
                </c:pt>
                <c:pt idx="30">
                  <c:v>977800</c:v>
                </c:pt>
                <c:pt idx="31">
                  <c:v>1883900</c:v>
                </c:pt>
                <c:pt idx="32">
                  <c:v>884500</c:v>
                </c:pt>
                <c:pt idx="33">
                  <c:v>1011500</c:v>
                </c:pt>
                <c:pt idx="34">
                  <c:v>1435100</c:v>
                </c:pt>
                <c:pt idx="35">
                  <c:v>1521900</c:v>
                </c:pt>
                <c:pt idx="36">
                  <c:v>1238200</c:v>
                </c:pt>
                <c:pt idx="37">
                  <c:v>906300</c:v>
                </c:pt>
                <c:pt idx="38">
                  <c:v>939900</c:v>
                </c:pt>
                <c:pt idx="39">
                  <c:v>1284700</c:v>
                </c:pt>
                <c:pt idx="40">
                  <c:v>826100</c:v>
                </c:pt>
                <c:pt idx="41">
                  <c:v>782600</c:v>
                </c:pt>
                <c:pt idx="42">
                  <c:v>1241400</c:v>
                </c:pt>
                <c:pt idx="43">
                  <c:v>1343900</c:v>
                </c:pt>
                <c:pt idx="44">
                  <c:v>1228500</c:v>
                </c:pt>
                <c:pt idx="45">
                  <c:v>1263700</c:v>
                </c:pt>
                <c:pt idx="46">
                  <c:v>1106100</c:v>
                </c:pt>
                <c:pt idx="47">
                  <c:v>900200</c:v>
                </c:pt>
                <c:pt idx="48">
                  <c:v>797800</c:v>
                </c:pt>
                <c:pt idx="49">
                  <c:v>948000</c:v>
                </c:pt>
                <c:pt idx="50">
                  <c:v>1075100</c:v>
                </c:pt>
                <c:pt idx="51">
                  <c:v>1385500</c:v>
                </c:pt>
                <c:pt idx="52">
                  <c:v>1045000</c:v>
                </c:pt>
                <c:pt idx="53">
                  <c:v>1198400</c:v>
                </c:pt>
                <c:pt idx="54">
                  <c:v>1307500</c:v>
                </c:pt>
                <c:pt idx="55">
                  <c:v>1747100</c:v>
                </c:pt>
                <c:pt idx="56">
                  <c:v>1351000</c:v>
                </c:pt>
                <c:pt idx="57">
                  <c:v>1194000</c:v>
                </c:pt>
                <c:pt idx="58">
                  <c:v>1148200</c:v>
                </c:pt>
                <c:pt idx="59">
                  <c:v>1089600</c:v>
                </c:pt>
                <c:pt idx="60">
                  <c:v>941700</c:v>
                </c:pt>
                <c:pt idx="61">
                  <c:v>1572600</c:v>
                </c:pt>
                <c:pt idx="62">
                  <c:v>2806600</c:v>
                </c:pt>
                <c:pt idx="63">
                  <c:v>1789500</c:v>
                </c:pt>
                <c:pt idx="64">
                  <c:v>1332600</c:v>
                </c:pt>
                <c:pt idx="65">
                  <c:v>910800</c:v>
                </c:pt>
                <c:pt idx="66">
                  <c:v>1335000</c:v>
                </c:pt>
                <c:pt idx="67">
                  <c:v>1460900</c:v>
                </c:pt>
                <c:pt idx="68">
                  <c:v>2281200</c:v>
                </c:pt>
                <c:pt idx="69">
                  <c:v>1469500</c:v>
                </c:pt>
                <c:pt idx="70">
                  <c:v>1310300</c:v>
                </c:pt>
                <c:pt idx="71">
                  <c:v>1658800</c:v>
                </c:pt>
                <c:pt idx="72">
                  <c:v>1273700</c:v>
                </c:pt>
                <c:pt idx="73">
                  <c:v>1660500</c:v>
                </c:pt>
                <c:pt idx="74">
                  <c:v>3790000</c:v>
                </c:pt>
                <c:pt idx="75">
                  <c:v>2344400</c:v>
                </c:pt>
                <c:pt idx="76">
                  <c:v>1682600</c:v>
                </c:pt>
                <c:pt idx="77">
                  <c:v>730200</c:v>
                </c:pt>
                <c:pt idx="78">
                  <c:v>959000</c:v>
                </c:pt>
                <c:pt idx="79">
                  <c:v>1017900</c:v>
                </c:pt>
                <c:pt idx="80">
                  <c:v>1335300</c:v>
                </c:pt>
                <c:pt idx="81">
                  <c:v>1123000</c:v>
                </c:pt>
                <c:pt idx="82">
                  <c:v>1131800</c:v>
                </c:pt>
                <c:pt idx="83">
                  <c:v>1296900</c:v>
                </c:pt>
                <c:pt idx="84">
                  <c:v>1115600</c:v>
                </c:pt>
                <c:pt idx="85">
                  <c:v>1185700</c:v>
                </c:pt>
                <c:pt idx="86">
                  <c:v>905100</c:v>
                </c:pt>
                <c:pt idx="87">
                  <c:v>894500</c:v>
                </c:pt>
                <c:pt idx="88">
                  <c:v>1292000</c:v>
                </c:pt>
                <c:pt idx="89">
                  <c:v>1443400</c:v>
                </c:pt>
                <c:pt idx="90">
                  <c:v>1345500</c:v>
                </c:pt>
                <c:pt idx="91">
                  <c:v>1314500</c:v>
                </c:pt>
                <c:pt idx="92">
                  <c:v>2401300</c:v>
                </c:pt>
                <c:pt idx="93">
                  <c:v>1501300</c:v>
                </c:pt>
                <c:pt idx="94">
                  <c:v>1508100</c:v>
                </c:pt>
                <c:pt idx="95">
                  <c:v>893700</c:v>
                </c:pt>
                <c:pt idx="96">
                  <c:v>1577000</c:v>
                </c:pt>
                <c:pt idx="97">
                  <c:v>1549100</c:v>
                </c:pt>
                <c:pt idx="98">
                  <c:v>1410000</c:v>
                </c:pt>
                <c:pt idx="99">
                  <c:v>1368500</c:v>
                </c:pt>
                <c:pt idx="100">
                  <c:v>1148700</c:v>
                </c:pt>
                <c:pt idx="101">
                  <c:v>1162300</c:v>
                </c:pt>
                <c:pt idx="102">
                  <c:v>1349700</c:v>
                </c:pt>
                <c:pt idx="103">
                  <c:v>872900</c:v>
                </c:pt>
                <c:pt idx="104">
                  <c:v>694300</c:v>
                </c:pt>
                <c:pt idx="105">
                  <c:v>847800</c:v>
                </c:pt>
                <c:pt idx="106">
                  <c:v>1468700</c:v>
                </c:pt>
                <c:pt idx="107">
                  <c:v>1164400</c:v>
                </c:pt>
                <c:pt idx="108">
                  <c:v>1266100</c:v>
                </c:pt>
                <c:pt idx="109">
                  <c:v>698900</c:v>
                </c:pt>
                <c:pt idx="110">
                  <c:v>1095900</c:v>
                </c:pt>
                <c:pt idx="111">
                  <c:v>905000</c:v>
                </c:pt>
                <c:pt idx="112">
                  <c:v>810500</c:v>
                </c:pt>
                <c:pt idx="113">
                  <c:v>467800</c:v>
                </c:pt>
                <c:pt idx="114">
                  <c:v>954400</c:v>
                </c:pt>
                <c:pt idx="115">
                  <c:v>1512900</c:v>
                </c:pt>
                <c:pt idx="116">
                  <c:v>665700</c:v>
                </c:pt>
                <c:pt idx="117">
                  <c:v>1138700</c:v>
                </c:pt>
                <c:pt idx="118">
                  <c:v>1437700</c:v>
                </c:pt>
                <c:pt idx="119">
                  <c:v>1365200</c:v>
                </c:pt>
                <c:pt idx="120">
                  <c:v>1182600</c:v>
                </c:pt>
                <c:pt idx="121">
                  <c:v>1338300</c:v>
                </c:pt>
                <c:pt idx="122">
                  <c:v>1573100</c:v>
                </c:pt>
                <c:pt idx="123">
                  <c:v>2874400</c:v>
                </c:pt>
                <c:pt idx="124">
                  <c:v>2074000</c:v>
                </c:pt>
                <c:pt idx="125">
                  <c:v>1009300</c:v>
                </c:pt>
                <c:pt idx="126">
                  <c:v>1323100</c:v>
                </c:pt>
                <c:pt idx="127">
                  <c:v>1136600</c:v>
                </c:pt>
                <c:pt idx="128">
                  <c:v>1099700</c:v>
                </c:pt>
                <c:pt idx="129">
                  <c:v>726000</c:v>
                </c:pt>
                <c:pt idx="130">
                  <c:v>578800</c:v>
                </c:pt>
                <c:pt idx="131">
                  <c:v>714600</c:v>
                </c:pt>
                <c:pt idx="132">
                  <c:v>752800</c:v>
                </c:pt>
                <c:pt idx="133">
                  <c:v>548200</c:v>
                </c:pt>
                <c:pt idx="134">
                  <c:v>595200</c:v>
                </c:pt>
                <c:pt idx="135">
                  <c:v>515400</c:v>
                </c:pt>
                <c:pt idx="136">
                  <c:v>425600</c:v>
                </c:pt>
                <c:pt idx="137">
                  <c:v>497500</c:v>
                </c:pt>
                <c:pt idx="138">
                  <c:v>406300</c:v>
                </c:pt>
                <c:pt idx="139">
                  <c:v>548400</c:v>
                </c:pt>
                <c:pt idx="140">
                  <c:v>363900</c:v>
                </c:pt>
                <c:pt idx="141">
                  <c:v>380700</c:v>
                </c:pt>
                <c:pt idx="142">
                  <c:v>546200</c:v>
                </c:pt>
                <c:pt idx="143">
                  <c:v>597700</c:v>
                </c:pt>
                <c:pt idx="144">
                  <c:v>628300</c:v>
                </c:pt>
                <c:pt idx="145">
                  <c:v>583800</c:v>
                </c:pt>
                <c:pt idx="146">
                  <c:v>511400</c:v>
                </c:pt>
                <c:pt idx="147">
                  <c:v>493100</c:v>
                </c:pt>
                <c:pt idx="148">
                  <c:v>700600</c:v>
                </c:pt>
                <c:pt idx="149">
                  <c:v>489200</c:v>
                </c:pt>
                <c:pt idx="150">
                  <c:v>631200</c:v>
                </c:pt>
                <c:pt idx="151">
                  <c:v>539200</c:v>
                </c:pt>
                <c:pt idx="152">
                  <c:v>757900</c:v>
                </c:pt>
                <c:pt idx="153">
                  <c:v>678400</c:v>
                </c:pt>
                <c:pt idx="154">
                  <c:v>896300</c:v>
                </c:pt>
                <c:pt idx="155">
                  <c:v>445200</c:v>
                </c:pt>
                <c:pt idx="156">
                  <c:v>617700</c:v>
                </c:pt>
                <c:pt idx="157">
                  <c:v>607500</c:v>
                </c:pt>
                <c:pt idx="158">
                  <c:v>510800</c:v>
                </c:pt>
                <c:pt idx="159">
                  <c:v>229300</c:v>
                </c:pt>
                <c:pt idx="160">
                  <c:v>655900</c:v>
                </c:pt>
                <c:pt idx="161">
                  <c:v>500400</c:v>
                </c:pt>
                <c:pt idx="162">
                  <c:v>1210200</c:v>
                </c:pt>
                <c:pt idx="163">
                  <c:v>705600</c:v>
                </c:pt>
                <c:pt idx="164">
                  <c:v>881900</c:v>
                </c:pt>
                <c:pt idx="165">
                  <c:v>836100</c:v>
                </c:pt>
                <c:pt idx="166">
                  <c:v>915900</c:v>
                </c:pt>
                <c:pt idx="167">
                  <c:v>812000</c:v>
                </c:pt>
                <c:pt idx="168">
                  <c:v>1042900</c:v>
                </c:pt>
                <c:pt idx="169">
                  <c:v>539500</c:v>
                </c:pt>
                <c:pt idx="170">
                  <c:v>720600</c:v>
                </c:pt>
                <c:pt idx="171">
                  <c:v>837400</c:v>
                </c:pt>
                <c:pt idx="172">
                  <c:v>907400</c:v>
                </c:pt>
                <c:pt idx="173">
                  <c:v>888400</c:v>
                </c:pt>
                <c:pt idx="174">
                  <c:v>798200</c:v>
                </c:pt>
                <c:pt idx="175">
                  <c:v>954500</c:v>
                </c:pt>
                <c:pt idx="176">
                  <c:v>1067500</c:v>
                </c:pt>
                <c:pt idx="177">
                  <c:v>304200</c:v>
                </c:pt>
                <c:pt idx="178">
                  <c:v>521100</c:v>
                </c:pt>
                <c:pt idx="179">
                  <c:v>1241700</c:v>
                </c:pt>
                <c:pt idx="180">
                  <c:v>670600</c:v>
                </c:pt>
                <c:pt idx="181">
                  <c:v>854600</c:v>
                </c:pt>
                <c:pt idx="182">
                  <c:v>929300</c:v>
                </c:pt>
                <c:pt idx="183">
                  <c:v>609900</c:v>
                </c:pt>
                <c:pt idx="184">
                  <c:v>792100</c:v>
                </c:pt>
                <c:pt idx="185">
                  <c:v>575800</c:v>
                </c:pt>
                <c:pt idx="186">
                  <c:v>524800</c:v>
                </c:pt>
                <c:pt idx="187">
                  <c:v>705600</c:v>
                </c:pt>
                <c:pt idx="188">
                  <c:v>615100</c:v>
                </c:pt>
                <c:pt idx="189">
                  <c:v>862500</c:v>
                </c:pt>
                <c:pt idx="190">
                  <c:v>774500</c:v>
                </c:pt>
                <c:pt idx="191">
                  <c:v>1087300</c:v>
                </c:pt>
                <c:pt idx="192">
                  <c:v>1705000</c:v>
                </c:pt>
                <c:pt idx="193">
                  <c:v>1811200</c:v>
                </c:pt>
                <c:pt idx="194">
                  <c:v>3741800</c:v>
                </c:pt>
                <c:pt idx="195">
                  <c:v>1871700</c:v>
                </c:pt>
                <c:pt idx="196">
                  <c:v>1418600</c:v>
                </c:pt>
                <c:pt idx="197">
                  <c:v>2255600</c:v>
                </c:pt>
                <c:pt idx="198">
                  <c:v>453500</c:v>
                </c:pt>
                <c:pt idx="199">
                  <c:v>388000</c:v>
                </c:pt>
                <c:pt idx="200">
                  <c:v>409700</c:v>
                </c:pt>
                <c:pt idx="201">
                  <c:v>426600</c:v>
                </c:pt>
                <c:pt idx="202">
                  <c:v>711800</c:v>
                </c:pt>
                <c:pt idx="203">
                  <c:v>875500</c:v>
                </c:pt>
                <c:pt idx="204">
                  <c:v>894500</c:v>
                </c:pt>
                <c:pt idx="205">
                  <c:v>577600</c:v>
                </c:pt>
                <c:pt idx="206">
                  <c:v>883400</c:v>
                </c:pt>
                <c:pt idx="207">
                  <c:v>749600</c:v>
                </c:pt>
                <c:pt idx="208">
                  <c:v>611500</c:v>
                </c:pt>
                <c:pt idx="209">
                  <c:v>839600</c:v>
                </c:pt>
                <c:pt idx="210">
                  <c:v>608700</c:v>
                </c:pt>
                <c:pt idx="211">
                  <c:v>648900</c:v>
                </c:pt>
                <c:pt idx="212">
                  <c:v>734400</c:v>
                </c:pt>
                <c:pt idx="213">
                  <c:v>568500</c:v>
                </c:pt>
                <c:pt idx="214">
                  <c:v>687800</c:v>
                </c:pt>
                <c:pt idx="215">
                  <c:v>740400</c:v>
                </c:pt>
                <c:pt idx="216">
                  <c:v>1290700</c:v>
                </c:pt>
                <c:pt idx="217">
                  <c:v>1155300</c:v>
                </c:pt>
                <c:pt idx="218">
                  <c:v>1040700</c:v>
                </c:pt>
                <c:pt idx="219">
                  <c:v>759300</c:v>
                </c:pt>
                <c:pt idx="220">
                  <c:v>1051500</c:v>
                </c:pt>
                <c:pt idx="221">
                  <c:v>1148700</c:v>
                </c:pt>
                <c:pt idx="222">
                  <c:v>844400</c:v>
                </c:pt>
                <c:pt idx="223">
                  <c:v>715100</c:v>
                </c:pt>
                <c:pt idx="224">
                  <c:v>711300</c:v>
                </c:pt>
                <c:pt idx="225">
                  <c:v>648000</c:v>
                </c:pt>
                <c:pt idx="226">
                  <c:v>1031000</c:v>
                </c:pt>
                <c:pt idx="227">
                  <c:v>769200</c:v>
                </c:pt>
                <c:pt idx="228">
                  <c:v>1012600</c:v>
                </c:pt>
                <c:pt idx="229">
                  <c:v>759400</c:v>
                </c:pt>
                <c:pt idx="230">
                  <c:v>965800</c:v>
                </c:pt>
                <c:pt idx="231">
                  <c:v>801900</c:v>
                </c:pt>
                <c:pt idx="232">
                  <c:v>827700</c:v>
                </c:pt>
                <c:pt idx="233">
                  <c:v>820100</c:v>
                </c:pt>
                <c:pt idx="234">
                  <c:v>1890400</c:v>
                </c:pt>
                <c:pt idx="235">
                  <c:v>1109400</c:v>
                </c:pt>
                <c:pt idx="236">
                  <c:v>353800</c:v>
                </c:pt>
                <c:pt idx="237">
                  <c:v>1449800</c:v>
                </c:pt>
                <c:pt idx="238">
                  <c:v>590300</c:v>
                </c:pt>
                <c:pt idx="239">
                  <c:v>1294100</c:v>
                </c:pt>
                <c:pt idx="240">
                  <c:v>602200</c:v>
                </c:pt>
                <c:pt idx="241">
                  <c:v>702300</c:v>
                </c:pt>
                <c:pt idx="242">
                  <c:v>586200</c:v>
                </c:pt>
                <c:pt idx="243">
                  <c:v>413800</c:v>
                </c:pt>
                <c:pt idx="244">
                  <c:v>1051600</c:v>
                </c:pt>
                <c:pt idx="245">
                  <c:v>980600</c:v>
                </c:pt>
                <c:pt idx="246">
                  <c:v>739100</c:v>
                </c:pt>
                <c:pt idx="247">
                  <c:v>446500</c:v>
                </c:pt>
                <c:pt idx="248">
                  <c:v>566900</c:v>
                </c:pt>
                <c:pt idx="249">
                  <c:v>513300</c:v>
                </c:pt>
              </c:numCache>
            </c:numRef>
          </c:val>
          <c:extLst>
            <c:ext xmlns:c16="http://schemas.microsoft.com/office/drawing/2014/chart" uri="{C3380CC4-5D6E-409C-BE32-E72D297353CC}">
              <c16:uniqueId val="{00000001-8F5B-4FF8-9CFE-39B6590FC975}"/>
            </c:ext>
          </c:extLst>
        </c:ser>
        <c:dLbls>
          <c:showLegendKey val="0"/>
          <c:showVal val="0"/>
          <c:showCatName val="0"/>
          <c:showSerName val="0"/>
          <c:showPercent val="0"/>
          <c:showBubbleSize val="0"/>
        </c:dLbls>
        <c:gapWidth val="219"/>
        <c:axId val="319507584"/>
        <c:axId val="2070683472"/>
      </c:barChart>
      <c:lineChart>
        <c:grouping val="standard"/>
        <c:varyColors val="0"/>
        <c:ser>
          <c:idx val="0"/>
          <c:order val="0"/>
          <c:tx>
            <c:strRef>
              <c:f>Graphs!$L$20</c:f>
              <c:strCache>
                <c:ptCount val="1"/>
                <c:pt idx="0">
                  <c:v>Close </c:v>
                </c:pt>
              </c:strCache>
            </c:strRef>
          </c:tx>
          <c:spPr>
            <a:ln w="28575" cap="rnd">
              <a:solidFill>
                <a:srgbClr val="006938"/>
              </a:solidFill>
              <a:round/>
            </a:ln>
            <a:effectLst/>
          </c:spPr>
          <c:marker>
            <c:symbol val="none"/>
          </c:marker>
          <c:cat>
            <c:numRef>
              <c:f>Graphs!$K$21:$K$270</c:f>
              <c:numCache>
                <c:formatCode>d\-mmm\-yy</c:formatCode>
                <c:ptCount val="250"/>
                <c:pt idx="0">
                  <c:v>46248</c:v>
                </c:pt>
                <c:pt idx="1">
                  <c:v>46247</c:v>
                </c:pt>
                <c:pt idx="2">
                  <c:v>46246</c:v>
                </c:pt>
                <c:pt idx="3">
                  <c:v>46245</c:v>
                </c:pt>
                <c:pt idx="4">
                  <c:v>46244</c:v>
                </c:pt>
                <c:pt idx="5">
                  <c:v>46241</c:v>
                </c:pt>
                <c:pt idx="6">
                  <c:v>46240</c:v>
                </c:pt>
                <c:pt idx="7">
                  <c:v>46239</c:v>
                </c:pt>
                <c:pt idx="8">
                  <c:v>46238</c:v>
                </c:pt>
                <c:pt idx="9">
                  <c:v>46237</c:v>
                </c:pt>
                <c:pt idx="10">
                  <c:v>46234</c:v>
                </c:pt>
                <c:pt idx="11">
                  <c:v>46233</c:v>
                </c:pt>
                <c:pt idx="12">
                  <c:v>46232</c:v>
                </c:pt>
                <c:pt idx="13">
                  <c:v>46231</c:v>
                </c:pt>
                <c:pt idx="14">
                  <c:v>46230</c:v>
                </c:pt>
                <c:pt idx="15">
                  <c:v>46227</c:v>
                </c:pt>
                <c:pt idx="16">
                  <c:v>46226</c:v>
                </c:pt>
                <c:pt idx="17">
                  <c:v>46225</c:v>
                </c:pt>
                <c:pt idx="18">
                  <c:v>46224</c:v>
                </c:pt>
                <c:pt idx="19">
                  <c:v>46223</c:v>
                </c:pt>
                <c:pt idx="20">
                  <c:v>46220</c:v>
                </c:pt>
                <c:pt idx="21">
                  <c:v>46219</c:v>
                </c:pt>
                <c:pt idx="22">
                  <c:v>46218</c:v>
                </c:pt>
                <c:pt idx="23">
                  <c:v>46217</c:v>
                </c:pt>
                <c:pt idx="24">
                  <c:v>46216</c:v>
                </c:pt>
                <c:pt idx="25">
                  <c:v>46213</c:v>
                </c:pt>
                <c:pt idx="26">
                  <c:v>46212</c:v>
                </c:pt>
                <c:pt idx="27">
                  <c:v>46211</c:v>
                </c:pt>
                <c:pt idx="28">
                  <c:v>46210</c:v>
                </c:pt>
                <c:pt idx="29">
                  <c:v>46209</c:v>
                </c:pt>
                <c:pt idx="30">
                  <c:v>46205</c:v>
                </c:pt>
                <c:pt idx="31">
                  <c:v>46204</c:v>
                </c:pt>
                <c:pt idx="32">
                  <c:v>46203</c:v>
                </c:pt>
                <c:pt idx="33">
                  <c:v>46202</c:v>
                </c:pt>
                <c:pt idx="34">
                  <c:v>46199</c:v>
                </c:pt>
                <c:pt idx="35">
                  <c:v>46198</c:v>
                </c:pt>
                <c:pt idx="36">
                  <c:v>46197</c:v>
                </c:pt>
                <c:pt idx="37">
                  <c:v>46196</c:v>
                </c:pt>
                <c:pt idx="38">
                  <c:v>46195</c:v>
                </c:pt>
                <c:pt idx="39">
                  <c:v>46191</c:v>
                </c:pt>
                <c:pt idx="40">
                  <c:v>46190</c:v>
                </c:pt>
                <c:pt idx="41">
                  <c:v>46189</c:v>
                </c:pt>
                <c:pt idx="42">
                  <c:v>46188</c:v>
                </c:pt>
                <c:pt idx="43">
                  <c:v>46185</c:v>
                </c:pt>
                <c:pt idx="44">
                  <c:v>46184</c:v>
                </c:pt>
                <c:pt idx="45">
                  <c:v>46183</c:v>
                </c:pt>
                <c:pt idx="46">
                  <c:v>46182</c:v>
                </c:pt>
                <c:pt idx="47">
                  <c:v>46181</c:v>
                </c:pt>
                <c:pt idx="48">
                  <c:v>46178</c:v>
                </c:pt>
                <c:pt idx="49">
                  <c:v>46177</c:v>
                </c:pt>
                <c:pt idx="50">
                  <c:v>46176</c:v>
                </c:pt>
                <c:pt idx="51">
                  <c:v>46175</c:v>
                </c:pt>
                <c:pt idx="52">
                  <c:v>46174</c:v>
                </c:pt>
                <c:pt idx="53">
                  <c:v>46171</c:v>
                </c:pt>
                <c:pt idx="54">
                  <c:v>46170</c:v>
                </c:pt>
                <c:pt idx="55">
                  <c:v>46169</c:v>
                </c:pt>
                <c:pt idx="56">
                  <c:v>46168</c:v>
                </c:pt>
                <c:pt idx="57">
                  <c:v>46164</c:v>
                </c:pt>
                <c:pt idx="58">
                  <c:v>46163</c:v>
                </c:pt>
                <c:pt idx="59">
                  <c:v>46162</c:v>
                </c:pt>
                <c:pt idx="60">
                  <c:v>46161</c:v>
                </c:pt>
                <c:pt idx="61">
                  <c:v>46160</c:v>
                </c:pt>
                <c:pt idx="62">
                  <c:v>46157</c:v>
                </c:pt>
                <c:pt idx="63">
                  <c:v>46156</c:v>
                </c:pt>
                <c:pt idx="64">
                  <c:v>46155</c:v>
                </c:pt>
                <c:pt idx="65">
                  <c:v>46154</c:v>
                </c:pt>
                <c:pt idx="66">
                  <c:v>46153</c:v>
                </c:pt>
                <c:pt idx="67">
                  <c:v>46150</c:v>
                </c:pt>
                <c:pt idx="68">
                  <c:v>46149</c:v>
                </c:pt>
                <c:pt idx="69">
                  <c:v>46148</c:v>
                </c:pt>
                <c:pt idx="70">
                  <c:v>46147</c:v>
                </c:pt>
                <c:pt idx="71">
                  <c:v>46146</c:v>
                </c:pt>
                <c:pt idx="72">
                  <c:v>46143</c:v>
                </c:pt>
                <c:pt idx="73">
                  <c:v>46142</c:v>
                </c:pt>
                <c:pt idx="74">
                  <c:v>46141</c:v>
                </c:pt>
                <c:pt idx="75">
                  <c:v>46140</c:v>
                </c:pt>
                <c:pt idx="76">
                  <c:v>46139</c:v>
                </c:pt>
                <c:pt idx="77">
                  <c:v>46136</c:v>
                </c:pt>
                <c:pt idx="78">
                  <c:v>46135</c:v>
                </c:pt>
                <c:pt idx="79">
                  <c:v>46134</c:v>
                </c:pt>
                <c:pt idx="80">
                  <c:v>46133</c:v>
                </c:pt>
                <c:pt idx="81">
                  <c:v>46132</c:v>
                </c:pt>
                <c:pt idx="82">
                  <c:v>46129</c:v>
                </c:pt>
                <c:pt idx="83">
                  <c:v>46128</c:v>
                </c:pt>
                <c:pt idx="84">
                  <c:v>46127</c:v>
                </c:pt>
                <c:pt idx="85">
                  <c:v>46126</c:v>
                </c:pt>
                <c:pt idx="86">
                  <c:v>46125</c:v>
                </c:pt>
                <c:pt idx="87">
                  <c:v>46122</c:v>
                </c:pt>
                <c:pt idx="88">
                  <c:v>46121</c:v>
                </c:pt>
                <c:pt idx="89">
                  <c:v>46120</c:v>
                </c:pt>
                <c:pt idx="90">
                  <c:v>46119</c:v>
                </c:pt>
                <c:pt idx="91">
                  <c:v>46118</c:v>
                </c:pt>
                <c:pt idx="92">
                  <c:v>46114</c:v>
                </c:pt>
                <c:pt idx="93">
                  <c:v>46113</c:v>
                </c:pt>
                <c:pt idx="94">
                  <c:v>46112</c:v>
                </c:pt>
                <c:pt idx="95">
                  <c:v>46111</c:v>
                </c:pt>
                <c:pt idx="96">
                  <c:v>46108</c:v>
                </c:pt>
                <c:pt idx="97">
                  <c:v>46107</c:v>
                </c:pt>
                <c:pt idx="98">
                  <c:v>46106</c:v>
                </c:pt>
                <c:pt idx="99">
                  <c:v>46105</c:v>
                </c:pt>
                <c:pt idx="100">
                  <c:v>46104</c:v>
                </c:pt>
                <c:pt idx="101">
                  <c:v>46101</c:v>
                </c:pt>
                <c:pt idx="102">
                  <c:v>46100</c:v>
                </c:pt>
                <c:pt idx="103">
                  <c:v>46099</c:v>
                </c:pt>
                <c:pt idx="104">
                  <c:v>46098</c:v>
                </c:pt>
                <c:pt idx="105">
                  <c:v>46097</c:v>
                </c:pt>
                <c:pt idx="106">
                  <c:v>46094</c:v>
                </c:pt>
                <c:pt idx="107">
                  <c:v>46093</c:v>
                </c:pt>
                <c:pt idx="108">
                  <c:v>46092</c:v>
                </c:pt>
                <c:pt idx="109">
                  <c:v>46091</c:v>
                </c:pt>
                <c:pt idx="110">
                  <c:v>46090</c:v>
                </c:pt>
                <c:pt idx="111">
                  <c:v>46087</c:v>
                </c:pt>
                <c:pt idx="112">
                  <c:v>46086</c:v>
                </c:pt>
                <c:pt idx="113">
                  <c:v>46085</c:v>
                </c:pt>
                <c:pt idx="114">
                  <c:v>46084</c:v>
                </c:pt>
                <c:pt idx="115">
                  <c:v>46083</c:v>
                </c:pt>
                <c:pt idx="116">
                  <c:v>46080</c:v>
                </c:pt>
                <c:pt idx="117">
                  <c:v>46079</c:v>
                </c:pt>
                <c:pt idx="118">
                  <c:v>46078</c:v>
                </c:pt>
                <c:pt idx="119">
                  <c:v>46077</c:v>
                </c:pt>
                <c:pt idx="120">
                  <c:v>46076</c:v>
                </c:pt>
                <c:pt idx="121">
                  <c:v>46073</c:v>
                </c:pt>
                <c:pt idx="122">
                  <c:v>46072</c:v>
                </c:pt>
                <c:pt idx="123">
                  <c:v>46071</c:v>
                </c:pt>
                <c:pt idx="124">
                  <c:v>46070</c:v>
                </c:pt>
                <c:pt idx="125">
                  <c:v>46066</c:v>
                </c:pt>
                <c:pt idx="126">
                  <c:v>46065</c:v>
                </c:pt>
                <c:pt idx="127">
                  <c:v>46064</c:v>
                </c:pt>
                <c:pt idx="128">
                  <c:v>46063</c:v>
                </c:pt>
                <c:pt idx="129">
                  <c:v>46062</c:v>
                </c:pt>
                <c:pt idx="130">
                  <c:v>46059</c:v>
                </c:pt>
                <c:pt idx="131">
                  <c:v>46058</c:v>
                </c:pt>
                <c:pt idx="132">
                  <c:v>46057</c:v>
                </c:pt>
                <c:pt idx="133">
                  <c:v>46056</c:v>
                </c:pt>
                <c:pt idx="134">
                  <c:v>46055</c:v>
                </c:pt>
                <c:pt idx="135">
                  <c:v>46052</c:v>
                </c:pt>
                <c:pt idx="136">
                  <c:v>46051</c:v>
                </c:pt>
                <c:pt idx="137">
                  <c:v>46050</c:v>
                </c:pt>
                <c:pt idx="138">
                  <c:v>46049</c:v>
                </c:pt>
                <c:pt idx="139">
                  <c:v>46048</c:v>
                </c:pt>
                <c:pt idx="140">
                  <c:v>46045</c:v>
                </c:pt>
                <c:pt idx="141">
                  <c:v>46044</c:v>
                </c:pt>
                <c:pt idx="142">
                  <c:v>46043</c:v>
                </c:pt>
                <c:pt idx="143">
                  <c:v>46042</c:v>
                </c:pt>
                <c:pt idx="144">
                  <c:v>46038</c:v>
                </c:pt>
                <c:pt idx="145">
                  <c:v>46037</c:v>
                </c:pt>
                <c:pt idx="146">
                  <c:v>46036</c:v>
                </c:pt>
                <c:pt idx="147">
                  <c:v>46035</c:v>
                </c:pt>
                <c:pt idx="148">
                  <c:v>46034</c:v>
                </c:pt>
                <c:pt idx="149">
                  <c:v>46031</c:v>
                </c:pt>
                <c:pt idx="150">
                  <c:v>46030</c:v>
                </c:pt>
                <c:pt idx="151">
                  <c:v>46029</c:v>
                </c:pt>
                <c:pt idx="152">
                  <c:v>46028</c:v>
                </c:pt>
                <c:pt idx="153">
                  <c:v>46027</c:v>
                </c:pt>
                <c:pt idx="154">
                  <c:v>46024</c:v>
                </c:pt>
                <c:pt idx="155">
                  <c:v>46022</c:v>
                </c:pt>
                <c:pt idx="156">
                  <c:v>46021</c:v>
                </c:pt>
                <c:pt idx="157">
                  <c:v>46020</c:v>
                </c:pt>
                <c:pt idx="158">
                  <c:v>46017</c:v>
                </c:pt>
                <c:pt idx="159">
                  <c:v>46015</c:v>
                </c:pt>
                <c:pt idx="160">
                  <c:v>46014</c:v>
                </c:pt>
                <c:pt idx="161">
                  <c:v>46013</c:v>
                </c:pt>
                <c:pt idx="162">
                  <c:v>46010</c:v>
                </c:pt>
                <c:pt idx="163">
                  <c:v>46009</c:v>
                </c:pt>
                <c:pt idx="164">
                  <c:v>46008</c:v>
                </c:pt>
                <c:pt idx="165">
                  <c:v>46007</c:v>
                </c:pt>
                <c:pt idx="166">
                  <c:v>46006</c:v>
                </c:pt>
                <c:pt idx="167">
                  <c:v>46003</c:v>
                </c:pt>
                <c:pt idx="168">
                  <c:v>46002</c:v>
                </c:pt>
                <c:pt idx="169">
                  <c:v>46001</c:v>
                </c:pt>
                <c:pt idx="170">
                  <c:v>46000</c:v>
                </c:pt>
                <c:pt idx="171">
                  <c:v>45999</c:v>
                </c:pt>
                <c:pt idx="172">
                  <c:v>45996</c:v>
                </c:pt>
                <c:pt idx="173">
                  <c:v>45995</c:v>
                </c:pt>
                <c:pt idx="174">
                  <c:v>45994</c:v>
                </c:pt>
                <c:pt idx="175">
                  <c:v>45993</c:v>
                </c:pt>
                <c:pt idx="176">
                  <c:v>45992</c:v>
                </c:pt>
                <c:pt idx="177">
                  <c:v>45989</c:v>
                </c:pt>
                <c:pt idx="178">
                  <c:v>45987</c:v>
                </c:pt>
                <c:pt idx="179">
                  <c:v>45986</c:v>
                </c:pt>
                <c:pt idx="180">
                  <c:v>45985</c:v>
                </c:pt>
                <c:pt idx="181">
                  <c:v>45982</c:v>
                </c:pt>
                <c:pt idx="182">
                  <c:v>45981</c:v>
                </c:pt>
                <c:pt idx="183">
                  <c:v>45980</c:v>
                </c:pt>
                <c:pt idx="184">
                  <c:v>45979</c:v>
                </c:pt>
                <c:pt idx="185">
                  <c:v>45978</c:v>
                </c:pt>
                <c:pt idx="186">
                  <c:v>45975</c:v>
                </c:pt>
                <c:pt idx="187">
                  <c:v>45974</c:v>
                </c:pt>
                <c:pt idx="188">
                  <c:v>45973</c:v>
                </c:pt>
                <c:pt idx="189">
                  <c:v>45972</c:v>
                </c:pt>
                <c:pt idx="190">
                  <c:v>45971</c:v>
                </c:pt>
                <c:pt idx="191">
                  <c:v>45968</c:v>
                </c:pt>
                <c:pt idx="192">
                  <c:v>45967</c:v>
                </c:pt>
                <c:pt idx="193">
                  <c:v>45966</c:v>
                </c:pt>
                <c:pt idx="194">
                  <c:v>45965</c:v>
                </c:pt>
                <c:pt idx="195">
                  <c:v>45964</c:v>
                </c:pt>
                <c:pt idx="196">
                  <c:v>45961</c:v>
                </c:pt>
                <c:pt idx="197">
                  <c:v>45960</c:v>
                </c:pt>
                <c:pt idx="198">
                  <c:v>45959</c:v>
                </c:pt>
                <c:pt idx="199">
                  <c:v>45958</c:v>
                </c:pt>
                <c:pt idx="200">
                  <c:v>45957</c:v>
                </c:pt>
                <c:pt idx="201">
                  <c:v>45954</c:v>
                </c:pt>
                <c:pt idx="202">
                  <c:v>45953</c:v>
                </c:pt>
                <c:pt idx="203">
                  <c:v>45952</c:v>
                </c:pt>
                <c:pt idx="204">
                  <c:v>45951</c:v>
                </c:pt>
                <c:pt idx="205">
                  <c:v>45950</c:v>
                </c:pt>
                <c:pt idx="206">
                  <c:v>45947</c:v>
                </c:pt>
                <c:pt idx="207">
                  <c:v>45946</c:v>
                </c:pt>
                <c:pt idx="208">
                  <c:v>45945</c:v>
                </c:pt>
                <c:pt idx="209">
                  <c:v>45944</c:v>
                </c:pt>
                <c:pt idx="210">
                  <c:v>45943</c:v>
                </c:pt>
                <c:pt idx="211">
                  <c:v>45940</c:v>
                </c:pt>
                <c:pt idx="212">
                  <c:v>45939</c:v>
                </c:pt>
                <c:pt idx="213">
                  <c:v>45938</c:v>
                </c:pt>
                <c:pt idx="214">
                  <c:v>45937</c:v>
                </c:pt>
                <c:pt idx="215">
                  <c:v>45936</c:v>
                </c:pt>
                <c:pt idx="216">
                  <c:v>45933</c:v>
                </c:pt>
                <c:pt idx="217">
                  <c:v>45932</c:v>
                </c:pt>
                <c:pt idx="218">
                  <c:v>45931</c:v>
                </c:pt>
                <c:pt idx="219">
                  <c:v>45930</c:v>
                </c:pt>
                <c:pt idx="220">
                  <c:v>45929</c:v>
                </c:pt>
                <c:pt idx="221">
                  <c:v>45926</c:v>
                </c:pt>
                <c:pt idx="222">
                  <c:v>45925</c:v>
                </c:pt>
                <c:pt idx="223">
                  <c:v>45924</c:v>
                </c:pt>
                <c:pt idx="224">
                  <c:v>45923</c:v>
                </c:pt>
                <c:pt idx="225">
                  <c:v>45922</c:v>
                </c:pt>
                <c:pt idx="226">
                  <c:v>45919</c:v>
                </c:pt>
                <c:pt idx="227">
                  <c:v>45918</c:v>
                </c:pt>
                <c:pt idx="228">
                  <c:v>45917</c:v>
                </c:pt>
                <c:pt idx="229">
                  <c:v>45916</c:v>
                </c:pt>
                <c:pt idx="230">
                  <c:v>45915</c:v>
                </c:pt>
                <c:pt idx="231">
                  <c:v>45912</c:v>
                </c:pt>
                <c:pt idx="232">
                  <c:v>45911</c:v>
                </c:pt>
                <c:pt idx="233">
                  <c:v>45910</c:v>
                </c:pt>
                <c:pt idx="234">
                  <c:v>45909</c:v>
                </c:pt>
                <c:pt idx="235">
                  <c:v>45908</c:v>
                </c:pt>
                <c:pt idx="236">
                  <c:v>45905</c:v>
                </c:pt>
                <c:pt idx="237">
                  <c:v>45904</c:v>
                </c:pt>
                <c:pt idx="238">
                  <c:v>45903</c:v>
                </c:pt>
                <c:pt idx="239">
                  <c:v>45902</c:v>
                </c:pt>
                <c:pt idx="240">
                  <c:v>45898</c:v>
                </c:pt>
                <c:pt idx="241">
                  <c:v>45897</c:v>
                </c:pt>
                <c:pt idx="242">
                  <c:v>45896</c:v>
                </c:pt>
                <c:pt idx="243">
                  <c:v>45895</c:v>
                </c:pt>
                <c:pt idx="244">
                  <c:v>45894</c:v>
                </c:pt>
                <c:pt idx="245">
                  <c:v>45891</c:v>
                </c:pt>
                <c:pt idx="246">
                  <c:v>45890</c:v>
                </c:pt>
                <c:pt idx="247">
                  <c:v>45889</c:v>
                </c:pt>
                <c:pt idx="248">
                  <c:v>45888</c:v>
                </c:pt>
                <c:pt idx="249">
                  <c:v>45887</c:v>
                </c:pt>
              </c:numCache>
            </c:numRef>
          </c:cat>
          <c:val>
            <c:numRef>
              <c:f>Graphs!$L$21:$L$270</c:f>
              <c:numCache>
                <c:formatCode>General</c:formatCode>
                <c:ptCount val="250"/>
                <c:pt idx="0">
                  <c:v>126.12</c:v>
                </c:pt>
                <c:pt idx="1">
                  <c:v>113.9</c:v>
                </c:pt>
                <c:pt idx="2">
                  <c:v>112.08</c:v>
                </c:pt>
                <c:pt idx="3">
                  <c:v>111.36</c:v>
                </c:pt>
                <c:pt idx="4">
                  <c:v>117.52</c:v>
                </c:pt>
                <c:pt idx="5">
                  <c:v>116.82</c:v>
                </c:pt>
                <c:pt idx="6">
                  <c:v>116.62</c:v>
                </c:pt>
                <c:pt idx="7">
                  <c:v>123.86</c:v>
                </c:pt>
                <c:pt idx="8">
                  <c:v>121.5</c:v>
                </c:pt>
                <c:pt idx="9">
                  <c:v>130.38999999999999</c:v>
                </c:pt>
                <c:pt idx="10">
                  <c:v>129.49</c:v>
                </c:pt>
                <c:pt idx="11">
                  <c:v>134.34</c:v>
                </c:pt>
                <c:pt idx="12">
                  <c:v>139.44999999999999</c:v>
                </c:pt>
                <c:pt idx="13">
                  <c:v>134.87</c:v>
                </c:pt>
                <c:pt idx="14">
                  <c:v>137.24</c:v>
                </c:pt>
                <c:pt idx="15">
                  <c:v>135.19999999999999</c:v>
                </c:pt>
                <c:pt idx="16">
                  <c:v>134.86000000000001</c:v>
                </c:pt>
                <c:pt idx="17">
                  <c:v>138.12</c:v>
                </c:pt>
                <c:pt idx="18">
                  <c:v>134.94999999999999</c:v>
                </c:pt>
                <c:pt idx="19">
                  <c:v>141.1</c:v>
                </c:pt>
                <c:pt idx="20">
                  <c:v>142.33000000000001</c:v>
                </c:pt>
                <c:pt idx="21">
                  <c:v>140.93</c:v>
                </c:pt>
                <c:pt idx="22">
                  <c:v>145.69999999999999</c:v>
                </c:pt>
                <c:pt idx="23">
                  <c:v>148.41</c:v>
                </c:pt>
                <c:pt idx="24">
                  <c:v>154.06</c:v>
                </c:pt>
                <c:pt idx="25">
                  <c:v>153.29</c:v>
                </c:pt>
                <c:pt idx="26">
                  <c:v>157.72</c:v>
                </c:pt>
                <c:pt idx="27">
                  <c:v>158.47</c:v>
                </c:pt>
                <c:pt idx="28">
                  <c:v>170.21</c:v>
                </c:pt>
                <c:pt idx="29">
                  <c:v>170.58</c:v>
                </c:pt>
                <c:pt idx="30">
                  <c:v>177.99</c:v>
                </c:pt>
                <c:pt idx="31">
                  <c:v>174.97</c:v>
                </c:pt>
                <c:pt idx="32">
                  <c:v>173.41</c:v>
                </c:pt>
                <c:pt idx="33">
                  <c:v>165.47</c:v>
                </c:pt>
                <c:pt idx="34">
                  <c:v>166.76</c:v>
                </c:pt>
                <c:pt idx="35">
                  <c:v>165.42</c:v>
                </c:pt>
                <c:pt idx="36">
                  <c:v>155.79</c:v>
                </c:pt>
                <c:pt idx="37">
                  <c:v>150.41</c:v>
                </c:pt>
                <c:pt idx="38">
                  <c:v>156.74</c:v>
                </c:pt>
                <c:pt idx="39">
                  <c:v>161.78</c:v>
                </c:pt>
                <c:pt idx="40">
                  <c:v>150.05000000000001</c:v>
                </c:pt>
                <c:pt idx="41">
                  <c:v>162.72999999999999</c:v>
                </c:pt>
                <c:pt idx="42">
                  <c:v>166.22</c:v>
                </c:pt>
                <c:pt idx="43">
                  <c:v>162.29</c:v>
                </c:pt>
                <c:pt idx="44">
                  <c:v>153.88</c:v>
                </c:pt>
                <c:pt idx="45">
                  <c:v>145.59</c:v>
                </c:pt>
                <c:pt idx="46">
                  <c:v>143.86000000000001</c:v>
                </c:pt>
                <c:pt idx="47">
                  <c:v>143.44999999999999</c:v>
                </c:pt>
                <c:pt idx="48">
                  <c:v>142.22999999999999</c:v>
                </c:pt>
                <c:pt idx="49">
                  <c:v>144.47999999999999</c:v>
                </c:pt>
                <c:pt idx="50">
                  <c:v>144.05000000000001</c:v>
                </c:pt>
                <c:pt idx="51">
                  <c:v>151</c:v>
                </c:pt>
                <c:pt idx="52">
                  <c:v>158.16</c:v>
                </c:pt>
                <c:pt idx="53">
                  <c:v>156.96</c:v>
                </c:pt>
                <c:pt idx="54">
                  <c:v>157.61000000000001</c:v>
                </c:pt>
                <c:pt idx="55">
                  <c:v>152.09</c:v>
                </c:pt>
                <c:pt idx="56">
                  <c:v>140.63</c:v>
                </c:pt>
                <c:pt idx="57">
                  <c:v>140.41</c:v>
                </c:pt>
                <c:pt idx="58">
                  <c:v>132.65</c:v>
                </c:pt>
                <c:pt idx="59">
                  <c:v>128.13</c:v>
                </c:pt>
                <c:pt idx="60">
                  <c:v>126.8</c:v>
                </c:pt>
                <c:pt idx="61">
                  <c:v>129</c:v>
                </c:pt>
                <c:pt idx="62">
                  <c:v>129.21</c:v>
                </c:pt>
                <c:pt idx="63">
                  <c:v>118.96</c:v>
                </c:pt>
                <c:pt idx="64">
                  <c:v>120.61</c:v>
                </c:pt>
                <c:pt idx="65">
                  <c:v>123.73</c:v>
                </c:pt>
                <c:pt idx="66">
                  <c:v>127.33</c:v>
                </c:pt>
                <c:pt idx="67">
                  <c:v>129.66999999999999</c:v>
                </c:pt>
                <c:pt idx="68">
                  <c:v>134.88</c:v>
                </c:pt>
                <c:pt idx="69">
                  <c:v>145.43</c:v>
                </c:pt>
                <c:pt idx="70">
                  <c:v>146.74</c:v>
                </c:pt>
                <c:pt idx="71">
                  <c:v>150.5</c:v>
                </c:pt>
                <c:pt idx="72">
                  <c:v>160.72999999999999</c:v>
                </c:pt>
                <c:pt idx="73">
                  <c:v>164.06</c:v>
                </c:pt>
                <c:pt idx="74">
                  <c:v>171.21</c:v>
                </c:pt>
                <c:pt idx="75">
                  <c:v>172.97</c:v>
                </c:pt>
                <c:pt idx="76">
                  <c:v>177.73</c:v>
                </c:pt>
                <c:pt idx="77">
                  <c:v>189.37</c:v>
                </c:pt>
                <c:pt idx="78">
                  <c:v>186.74</c:v>
                </c:pt>
                <c:pt idx="79">
                  <c:v>190</c:v>
                </c:pt>
                <c:pt idx="80">
                  <c:v>189.19</c:v>
                </c:pt>
                <c:pt idx="81">
                  <c:v>199.03</c:v>
                </c:pt>
                <c:pt idx="82">
                  <c:v>196.34</c:v>
                </c:pt>
                <c:pt idx="83">
                  <c:v>186.05</c:v>
                </c:pt>
                <c:pt idx="84">
                  <c:v>191.4</c:v>
                </c:pt>
                <c:pt idx="85">
                  <c:v>198.08</c:v>
                </c:pt>
                <c:pt idx="86">
                  <c:v>186.31</c:v>
                </c:pt>
                <c:pt idx="87">
                  <c:v>179.89</c:v>
                </c:pt>
                <c:pt idx="88">
                  <c:v>179.05</c:v>
                </c:pt>
                <c:pt idx="89">
                  <c:v>168.53</c:v>
                </c:pt>
                <c:pt idx="90">
                  <c:v>166.04</c:v>
                </c:pt>
                <c:pt idx="91">
                  <c:v>164.83</c:v>
                </c:pt>
                <c:pt idx="92">
                  <c:v>152.51</c:v>
                </c:pt>
                <c:pt idx="93">
                  <c:v>144.87</c:v>
                </c:pt>
                <c:pt idx="94">
                  <c:v>154.97</c:v>
                </c:pt>
                <c:pt idx="95">
                  <c:v>154.63999999999999</c:v>
                </c:pt>
                <c:pt idx="96">
                  <c:v>154.46</c:v>
                </c:pt>
                <c:pt idx="97">
                  <c:v>155.66999999999999</c:v>
                </c:pt>
                <c:pt idx="98">
                  <c:v>166.31</c:v>
                </c:pt>
                <c:pt idx="99">
                  <c:v>172.07</c:v>
                </c:pt>
                <c:pt idx="100">
                  <c:v>183.24</c:v>
                </c:pt>
                <c:pt idx="101">
                  <c:v>187.79</c:v>
                </c:pt>
                <c:pt idx="102">
                  <c:v>187.29</c:v>
                </c:pt>
                <c:pt idx="103">
                  <c:v>191.17</c:v>
                </c:pt>
                <c:pt idx="104">
                  <c:v>198.08</c:v>
                </c:pt>
                <c:pt idx="105">
                  <c:v>199.22</c:v>
                </c:pt>
                <c:pt idx="106">
                  <c:v>203.44</c:v>
                </c:pt>
                <c:pt idx="107">
                  <c:v>193.11</c:v>
                </c:pt>
                <c:pt idx="108">
                  <c:v>208.66</c:v>
                </c:pt>
                <c:pt idx="109">
                  <c:v>217.37</c:v>
                </c:pt>
                <c:pt idx="110">
                  <c:v>224.28</c:v>
                </c:pt>
                <c:pt idx="111">
                  <c:v>229.17</c:v>
                </c:pt>
                <c:pt idx="112">
                  <c:v>236.34</c:v>
                </c:pt>
                <c:pt idx="113">
                  <c:v>239.34</c:v>
                </c:pt>
                <c:pt idx="114">
                  <c:v>247.21</c:v>
                </c:pt>
                <c:pt idx="115">
                  <c:v>240.2</c:v>
                </c:pt>
                <c:pt idx="116">
                  <c:v>259.51</c:v>
                </c:pt>
                <c:pt idx="117">
                  <c:v>272</c:v>
                </c:pt>
                <c:pt idx="118">
                  <c:v>254.2</c:v>
                </c:pt>
                <c:pt idx="119">
                  <c:v>246.67</c:v>
                </c:pt>
                <c:pt idx="120">
                  <c:v>248.34</c:v>
                </c:pt>
                <c:pt idx="121">
                  <c:v>260.89</c:v>
                </c:pt>
                <c:pt idx="122">
                  <c:v>259.99</c:v>
                </c:pt>
                <c:pt idx="123">
                  <c:v>279.08</c:v>
                </c:pt>
                <c:pt idx="124">
                  <c:v>251.78</c:v>
                </c:pt>
                <c:pt idx="125">
                  <c:v>221.65</c:v>
                </c:pt>
                <c:pt idx="126">
                  <c:v>224</c:v>
                </c:pt>
                <c:pt idx="127">
                  <c:v>243.66</c:v>
                </c:pt>
                <c:pt idx="128">
                  <c:v>259.64</c:v>
                </c:pt>
                <c:pt idx="129">
                  <c:v>281.75</c:v>
                </c:pt>
                <c:pt idx="130">
                  <c:v>264.01</c:v>
                </c:pt>
                <c:pt idx="131">
                  <c:v>266.17</c:v>
                </c:pt>
                <c:pt idx="132">
                  <c:v>282.86</c:v>
                </c:pt>
                <c:pt idx="133">
                  <c:v>274.72000000000003</c:v>
                </c:pt>
                <c:pt idx="134">
                  <c:v>266.66000000000003</c:v>
                </c:pt>
                <c:pt idx="135">
                  <c:v>265.43</c:v>
                </c:pt>
                <c:pt idx="136">
                  <c:v>272.32</c:v>
                </c:pt>
                <c:pt idx="137">
                  <c:v>272.7</c:v>
                </c:pt>
                <c:pt idx="138">
                  <c:v>274.95999999999998</c:v>
                </c:pt>
                <c:pt idx="139">
                  <c:v>273.7</c:v>
                </c:pt>
                <c:pt idx="140">
                  <c:v>271.39</c:v>
                </c:pt>
                <c:pt idx="141">
                  <c:v>268.37</c:v>
                </c:pt>
                <c:pt idx="142">
                  <c:v>264.2</c:v>
                </c:pt>
                <c:pt idx="143">
                  <c:v>270.24</c:v>
                </c:pt>
                <c:pt idx="144">
                  <c:v>276.31</c:v>
                </c:pt>
                <c:pt idx="145">
                  <c:v>270.73</c:v>
                </c:pt>
                <c:pt idx="146">
                  <c:v>274.61</c:v>
                </c:pt>
                <c:pt idx="147">
                  <c:v>275.67</c:v>
                </c:pt>
                <c:pt idx="148">
                  <c:v>284.66000000000003</c:v>
                </c:pt>
                <c:pt idx="149">
                  <c:v>274</c:v>
                </c:pt>
                <c:pt idx="150">
                  <c:v>268.69</c:v>
                </c:pt>
                <c:pt idx="151">
                  <c:v>258.14</c:v>
                </c:pt>
                <c:pt idx="152">
                  <c:v>268.86</c:v>
                </c:pt>
                <c:pt idx="153">
                  <c:v>257.82</c:v>
                </c:pt>
                <c:pt idx="154">
                  <c:v>256.83999999999997</c:v>
                </c:pt>
                <c:pt idx="155">
                  <c:v>238.49</c:v>
                </c:pt>
                <c:pt idx="156">
                  <c:v>240.33</c:v>
                </c:pt>
                <c:pt idx="157">
                  <c:v>243.51</c:v>
                </c:pt>
                <c:pt idx="158">
                  <c:v>256.19</c:v>
                </c:pt>
                <c:pt idx="159">
                  <c:v>254.32</c:v>
                </c:pt>
                <c:pt idx="160">
                  <c:v>251.53</c:v>
                </c:pt>
                <c:pt idx="161">
                  <c:v>254.35</c:v>
                </c:pt>
                <c:pt idx="162">
                  <c:v>259.2</c:v>
                </c:pt>
                <c:pt idx="163">
                  <c:v>254.53</c:v>
                </c:pt>
                <c:pt idx="164">
                  <c:v>247.44</c:v>
                </c:pt>
                <c:pt idx="165">
                  <c:v>246.56</c:v>
                </c:pt>
                <c:pt idx="166">
                  <c:v>239.7</c:v>
                </c:pt>
                <c:pt idx="167">
                  <c:v>235.89</c:v>
                </c:pt>
                <c:pt idx="168">
                  <c:v>235.24</c:v>
                </c:pt>
                <c:pt idx="169">
                  <c:v>247.3</c:v>
                </c:pt>
                <c:pt idx="170">
                  <c:v>247.49</c:v>
                </c:pt>
                <c:pt idx="171">
                  <c:v>245.95</c:v>
                </c:pt>
                <c:pt idx="172">
                  <c:v>257.56</c:v>
                </c:pt>
                <c:pt idx="173">
                  <c:v>262.89</c:v>
                </c:pt>
                <c:pt idx="174">
                  <c:v>268.64</c:v>
                </c:pt>
                <c:pt idx="175">
                  <c:v>274.91000000000003</c:v>
                </c:pt>
                <c:pt idx="176">
                  <c:v>269.23</c:v>
                </c:pt>
                <c:pt idx="177">
                  <c:v>264.73</c:v>
                </c:pt>
                <c:pt idx="178">
                  <c:v>259.08</c:v>
                </c:pt>
                <c:pt idx="179">
                  <c:v>262.97000000000003</c:v>
                </c:pt>
                <c:pt idx="180">
                  <c:v>242.73</c:v>
                </c:pt>
                <c:pt idx="181">
                  <c:v>246.01</c:v>
                </c:pt>
                <c:pt idx="182">
                  <c:v>228.49</c:v>
                </c:pt>
                <c:pt idx="183">
                  <c:v>231.82</c:v>
                </c:pt>
                <c:pt idx="184">
                  <c:v>231.1</c:v>
                </c:pt>
                <c:pt idx="185">
                  <c:v>227.29</c:v>
                </c:pt>
                <c:pt idx="186">
                  <c:v>232.89</c:v>
                </c:pt>
                <c:pt idx="187">
                  <c:v>235</c:v>
                </c:pt>
                <c:pt idx="188">
                  <c:v>241.26</c:v>
                </c:pt>
                <c:pt idx="189">
                  <c:v>239.11</c:v>
                </c:pt>
                <c:pt idx="190">
                  <c:v>238</c:v>
                </c:pt>
                <c:pt idx="191">
                  <c:v>238.18</c:v>
                </c:pt>
                <c:pt idx="192">
                  <c:v>244.6</c:v>
                </c:pt>
                <c:pt idx="193">
                  <c:v>252.84</c:v>
                </c:pt>
                <c:pt idx="194">
                  <c:v>237.32</c:v>
                </c:pt>
                <c:pt idx="195">
                  <c:v>214.07</c:v>
                </c:pt>
                <c:pt idx="196">
                  <c:v>216.63</c:v>
                </c:pt>
                <c:pt idx="197">
                  <c:v>215.63</c:v>
                </c:pt>
                <c:pt idx="198">
                  <c:v>242.57</c:v>
                </c:pt>
                <c:pt idx="199">
                  <c:v>247.35</c:v>
                </c:pt>
                <c:pt idx="200">
                  <c:v>254.97</c:v>
                </c:pt>
                <c:pt idx="201">
                  <c:v>258.99</c:v>
                </c:pt>
                <c:pt idx="202">
                  <c:v>259.14</c:v>
                </c:pt>
                <c:pt idx="203">
                  <c:v>262.89</c:v>
                </c:pt>
                <c:pt idx="204">
                  <c:v>266.89</c:v>
                </c:pt>
                <c:pt idx="205">
                  <c:v>255.54</c:v>
                </c:pt>
                <c:pt idx="206">
                  <c:v>257.04000000000002</c:v>
                </c:pt>
                <c:pt idx="207">
                  <c:v>246.27</c:v>
                </c:pt>
                <c:pt idx="208">
                  <c:v>250.3</c:v>
                </c:pt>
                <c:pt idx="209">
                  <c:v>254.99</c:v>
                </c:pt>
                <c:pt idx="210">
                  <c:v>254.9</c:v>
                </c:pt>
                <c:pt idx="211">
                  <c:v>241.25</c:v>
                </c:pt>
                <c:pt idx="212">
                  <c:v>249.75</c:v>
                </c:pt>
                <c:pt idx="213">
                  <c:v>249.01</c:v>
                </c:pt>
                <c:pt idx="214">
                  <c:v>244.61</c:v>
                </c:pt>
                <c:pt idx="215">
                  <c:v>244.02</c:v>
                </c:pt>
                <c:pt idx="216">
                  <c:v>251.98</c:v>
                </c:pt>
                <c:pt idx="217">
                  <c:v>265.25</c:v>
                </c:pt>
                <c:pt idx="218">
                  <c:v>262.56</c:v>
                </c:pt>
                <c:pt idx="219">
                  <c:v>251.68</c:v>
                </c:pt>
                <c:pt idx="220">
                  <c:v>251.84</c:v>
                </c:pt>
                <c:pt idx="221">
                  <c:v>247.44</c:v>
                </c:pt>
                <c:pt idx="222">
                  <c:v>249.23</c:v>
                </c:pt>
                <c:pt idx="223">
                  <c:v>253.07</c:v>
                </c:pt>
                <c:pt idx="224">
                  <c:v>254.06</c:v>
                </c:pt>
                <c:pt idx="225">
                  <c:v>255.83</c:v>
                </c:pt>
                <c:pt idx="226">
                  <c:v>253.55</c:v>
                </c:pt>
                <c:pt idx="227">
                  <c:v>255.87</c:v>
                </c:pt>
                <c:pt idx="228">
                  <c:v>257.04000000000002</c:v>
                </c:pt>
                <c:pt idx="229">
                  <c:v>261.14</c:v>
                </c:pt>
                <c:pt idx="230">
                  <c:v>267.52</c:v>
                </c:pt>
                <c:pt idx="231">
                  <c:v>266.02</c:v>
                </c:pt>
                <c:pt idx="232">
                  <c:v>274.7</c:v>
                </c:pt>
                <c:pt idx="233">
                  <c:v>280.64999999999998</c:v>
                </c:pt>
                <c:pt idx="234">
                  <c:v>287.45</c:v>
                </c:pt>
                <c:pt idx="235">
                  <c:v>304.77999999999997</c:v>
                </c:pt>
                <c:pt idx="236">
                  <c:v>309.79000000000002</c:v>
                </c:pt>
                <c:pt idx="237">
                  <c:v>308.82</c:v>
                </c:pt>
                <c:pt idx="238">
                  <c:v>322.83</c:v>
                </c:pt>
                <c:pt idx="239">
                  <c:v>318.61</c:v>
                </c:pt>
                <c:pt idx="240">
                  <c:v>328.12</c:v>
                </c:pt>
                <c:pt idx="241">
                  <c:v>338.62</c:v>
                </c:pt>
                <c:pt idx="242">
                  <c:v>339.33</c:v>
                </c:pt>
                <c:pt idx="243">
                  <c:v>325.33999999999997</c:v>
                </c:pt>
                <c:pt idx="244">
                  <c:v>320.07</c:v>
                </c:pt>
                <c:pt idx="245">
                  <c:v>332.19</c:v>
                </c:pt>
                <c:pt idx="246">
                  <c:v>318.77</c:v>
                </c:pt>
                <c:pt idx="247">
                  <c:v>329.26</c:v>
                </c:pt>
                <c:pt idx="248">
                  <c:v>330.92</c:v>
                </c:pt>
                <c:pt idx="249">
                  <c:v>339.63</c:v>
                </c:pt>
              </c:numCache>
            </c:numRef>
          </c:val>
          <c:smooth val="0"/>
          <c:extLst>
            <c:ext xmlns:c16="http://schemas.microsoft.com/office/drawing/2014/chart" uri="{C3380CC4-5D6E-409C-BE32-E72D297353CC}">
              <c16:uniqueId val="{00000000-8F5B-4FF8-9CFE-39B6590FC975}"/>
            </c:ext>
          </c:extLst>
        </c:ser>
        <c:dLbls>
          <c:showLegendKey val="0"/>
          <c:showVal val="0"/>
          <c:showCatName val="0"/>
          <c:showSerName val="0"/>
          <c:showPercent val="0"/>
          <c:showBubbleSize val="0"/>
        </c:dLbls>
        <c:marker val="1"/>
        <c:smooth val="0"/>
        <c:axId val="2068627120"/>
        <c:axId val="2070677712"/>
      </c:lineChart>
      <c:dateAx>
        <c:axId val="2068627120"/>
        <c:scaling>
          <c:orientation val="minMax"/>
        </c:scaling>
        <c:delete val="0"/>
        <c:axPos val="b"/>
        <c:numFmt formatCode="m/d/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2070677712"/>
        <c:crosses val="autoZero"/>
        <c:auto val="1"/>
        <c:lblOffset val="100"/>
        <c:baseTimeUnit val="days"/>
      </c:dateAx>
      <c:valAx>
        <c:axId val="2070677712"/>
        <c:scaling>
          <c:orientation val="minMax"/>
          <c:min val="100"/>
        </c:scaling>
        <c:delete val="0"/>
        <c:axPos val="l"/>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2068627120"/>
        <c:crosses val="autoZero"/>
        <c:crossBetween val="between"/>
      </c:valAx>
      <c:valAx>
        <c:axId val="2070683472"/>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n-US"/>
          </a:p>
        </c:txPr>
        <c:crossAx val="319507584"/>
        <c:crosses val="max"/>
        <c:crossBetween val="between"/>
      </c:valAx>
      <c:dateAx>
        <c:axId val="319507584"/>
        <c:scaling>
          <c:orientation val="minMax"/>
        </c:scaling>
        <c:delete val="1"/>
        <c:axPos val="b"/>
        <c:numFmt formatCode="d\-mmm\-yy" sourceLinked="1"/>
        <c:majorTickMark val="out"/>
        <c:minorTickMark val="none"/>
        <c:tickLblPos val="nextTo"/>
        <c:crossAx val="2070683472"/>
        <c:crosses val="autoZero"/>
        <c:auto val="1"/>
        <c:lblOffset val="100"/>
        <c:baseTimeUnit val="day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Graphs!$Q$3</c:f>
              <c:strCache>
                <c:ptCount val="1"/>
                <c:pt idx="0">
                  <c:v>Revenue</c:v>
                </c:pt>
              </c:strCache>
            </c:strRef>
          </c:tx>
          <c:spPr>
            <a:solidFill>
              <a:schemeClr val="accent1"/>
            </a:solidFill>
            <a:ln>
              <a:noFill/>
            </a:ln>
            <a:effectLst/>
          </c:spPr>
          <c:invertIfNegative val="0"/>
          <c:cat>
            <c:numRef>
              <c:f>Graphs!$R$2:$AA$2</c:f>
              <c:numCache>
                <c:formatCode>0"A"</c:formatCode>
                <c:ptCount val="10"/>
                <c:pt idx="0">
                  <c:v>2021</c:v>
                </c:pt>
                <c:pt idx="1">
                  <c:v>2022</c:v>
                </c:pt>
                <c:pt idx="2">
                  <c:v>2023</c:v>
                </c:pt>
                <c:pt idx="3">
                  <c:v>2024</c:v>
                </c:pt>
                <c:pt idx="4">
                  <c:v>2025</c:v>
                </c:pt>
                <c:pt idx="5" formatCode="0&quot;E&quot;">
                  <c:v>2026</c:v>
                </c:pt>
                <c:pt idx="6" formatCode="0&quot;E&quot;">
                  <c:v>2027</c:v>
                </c:pt>
                <c:pt idx="7" formatCode="0&quot;E&quot;">
                  <c:v>2028</c:v>
                </c:pt>
                <c:pt idx="8" formatCode="0&quot;E&quot;">
                  <c:v>2029</c:v>
                </c:pt>
                <c:pt idx="9" formatCode="0&quot;E&quot;">
                  <c:v>2030</c:v>
                </c:pt>
              </c:numCache>
            </c:numRef>
          </c:cat>
          <c:val>
            <c:numRef>
              <c:f>Graphs!$R$3:$AA$3</c:f>
              <c:numCache>
                <c:formatCode>General</c:formatCode>
                <c:ptCount val="10"/>
                <c:pt idx="0">
                  <c:v>282.50200000000001</c:v>
                </c:pt>
                <c:pt idx="1">
                  <c:v>357.52100000000002</c:v>
                </c:pt>
                <c:pt idx="2">
                  <c:v>460.05500000000001</c:v>
                </c:pt>
                <c:pt idx="3">
                  <c:v>625.80700000000002</c:v>
                </c:pt>
                <c:pt idx="4">
                  <c:v>696.85299999999995</c:v>
                </c:pt>
                <c:pt idx="5">
                  <c:v>762.02912576595736</c:v>
                </c:pt>
                <c:pt idx="6">
                  <c:v>821.42192707382969</c:v>
                </c:pt>
                <c:pt idx="7">
                  <c:v>942.83920704528498</c:v>
                </c:pt>
                <c:pt idx="8">
                  <c:v>1066.1835242848665</c:v>
                </c:pt>
                <c:pt idx="9">
                  <c:v>1211.5279015912781</c:v>
                </c:pt>
              </c:numCache>
            </c:numRef>
          </c:val>
          <c:extLst>
            <c:ext xmlns:c16="http://schemas.microsoft.com/office/drawing/2014/chart" uri="{C3380CC4-5D6E-409C-BE32-E72D297353CC}">
              <c16:uniqueId val="{00000000-BAA1-4802-B96E-96719A8F0F4B}"/>
            </c:ext>
          </c:extLst>
        </c:ser>
        <c:ser>
          <c:idx val="1"/>
          <c:order val="1"/>
          <c:tx>
            <c:strRef>
              <c:f>Graphs!$Q$4</c:f>
              <c:strCache>
                <c:ptCount val="1"/>
                <c:pt idx="0">
                  <c:v>Net Income</c:v>
                </c:pt>
              </c:strCache>
            </c:strRef>
          </c:tx>
          <c:spPr>
            <a:solidFill>
              <a:schemeClr val="accent2"/>
            </a:solidFill>
            <a:ln>
              <a:noFill/>
            </a:ln>
            <a:effectLst/>
          </c:spPr>
          <c:invertIfNegative val="0"/>
          <c:cat>
            <c:numRef>
              <c:f>Graphs!$R$2:$AA$2</c:f>
              <c:numCache>
                <c:formatCode>0"A"</c:formatCode>
                <c:ptCount val="10"/>
                <c:pt idx="0">
                  <c:v>2021</c:v>
                </c:pt>
                <c:pt idx="1">
                  <c:v>2022</c:v>
                </c:pt>
                <c:pt idx="2">
                  <c:v>2023</c:v>
                </c:pt>
                <c:pt idx="3">
                  <c:v>2024</c:v>
                </c:pt>
                <c:pt idx="4">
                  <c:v>2025</c:v>
                </c:pt>
                <c:pt idx="5" formatCode="0&quot;E&quot;">
                  <c:v>2026</c:v>
                </c:pt>
                <c:pt idx="6" formatCode="0&quot;E&quot;">
                  <c:v>2027</c:v>
                </c:pt>
                <c:pt idx="7" formatCode="0&quot;E&quot;">
                  <c:v>2028</c:v>
                </c:pt>
                <c:pt idx="8" formatCode="0&quot;E&quot;">
                  <c:v>2029</c:v>
                </c:pt>
                <c:pt idx="9" formatCode="0&quot;E&quot;">
                  <c:v>2030</c:v>
                </c:pt>
              </c:numCache>
            </c:numRef>
          </c:cat>
          <c:val>
            <c:numRef>
              <c:f>Graphs!$R$4:$AA$4</c:f>
              <c:numCache>
                <c:formatCode>General</c:formatCode>
                <c:ptCount val="10"/>
                <c:pt idx="0">
                  <c:v>42.658000000000001</c:v>
                </c:pt>
                <c:pt idx="1">
                  <c:v>52.947000000000003</c:v>
                </c:pt>
                <c:pt idx="2">
                  <c:v>70.174999999999997</c:v>
                </c:pt>
                <c:pt idx="3">
                  <c:v>108.717</c:v>
                </c:pt>
                <c:pt idx="4">
                  <c:v>174.267</c:v>
                </c:pt>
                <c:pt idx="5">
                  <c:v>137.22494614868185</c:v>
                </c:pt>
                <c:pt idx="6">
                  <c:v>152.62872683080221</c:v>
                </c:pt>
                <c:pt idx="7">
                  <c:v>171.69189726793238</c:v>
                </c:pt>
                <c:pt idx="8">
                  <c:v>202.03526614883313</c:v>
                </c:pt>
                <c:pt idx="9">
                  <c:v>237.39919665359514</c:v>
                </c:pt>
              </c:numCache>
            </c:numRef>
          </c:val>
          <c:extLst>
            <c:ext xmlns:c16="http://schemas.microsoft.com/office/drawing/2014/chart" uri="{C3380CC4-5D6E-409C-BE32-E72D297353CC}">
              <c16:uniqueId val="{00000001-BAA1-4802-B96E-96719A8F0F4B}"/>
            </c:ext>
          </c:extLst>
        </c:ser>
        <c:dLbls>
          <c:showLegendKey val="0"/>
          <c:showVal val="0"/>
          <c:showCatName val="0"/>
          <c:showSerName val="0"/>
          <c:showPercent val="0"/>
          <c:showBubbleSize val="0"/>
        </c:dLbls>
        <c:gapWidth val="219"/>
        <c:overlap val="-27"/>
        <c:axId val="865013855"/>
        <c:axId val="482139279"/>
      </c:barChart>
      <c:catAx>
        <c:axId val="865013855"/>
        <c:scaling>
          <c:orientation val="minMax"/>
        </c:scaling>
        <c:delete val="0"/>
        <c:axPos val="b"/>
        <c:numFmt formatCode="0&quot;A&quot;"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82139279"/>
        <c:crosses val="autoZero"/>
        <c:auto val="1"/>
        <c:lblAlgn val="ctr"/>
        <c:lblOffset val="100"/>
        <c:noMultiLvlLbl val="0"/>
      </c:catAx>
      <c:valAx>
        <c:axId val="482139279"/>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 in thousands)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865013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Graphs!$AD$3</c:f>
              <c:strCache>
                <c:ptCount val="1"/>
                <c:pt idx="0">
                  <c:v>Operating Margins</c:v>
                </c:pt>
              </c:strCache>
            </c:strRef>
          </c:tx>
          <c:spPr>
            <a:solidFill>
              <a:schemeClr val="accent1"/>
            </a:solidFill>
            <a:ln>
              <a:noFill/>
            </a:ln>
            <a:effectLst/>
          </c:spPr>
          <c:invertIfNegative val="0"/>
          <c:cat>
            <c:numRef>
              <c:f>Graphs!$AE$2:$AN$2</c:f>
              <c:numCache>
                <c:formatCode>0"A"</c:formatCode>
                <c:ptCount val="10"/>
                <c:pt idx="0">
                  <c:v>2021</c:v>
                </c:pt>
                <c:pt idx="1">
                  <c:v>2022</c:v>
                </c:pt>
                <c:pt idx="2">
                  <c:v>2023</c:v>
                </c:pt>
                <c:pt idx="3">
                  <c:v>2024</c:v>
                </c:pt>
                <c:pt idx="4">
                  <c:v>2025</c:v>
                </c:pt>
                <c:pt idx="5" formatCode="0&quot;E&quot;">
                  <c:v>2026</c:v>
                </c:pt>
                <c:pt idx="6" formatCode="0&quot;E&quot;">
                  <c:v>2027</c:v>
                </c:pt>
                <c:pt idx="7" formatCode="0&quot;E&quot;">
                  <c:v>2028</c:v>
                </c:pt>
                <c:pt idx="8" formatCode="0&quot;E&quot;">
                  <c:v>2029</c:v>
                </c:pt>
                <c:pt idx="9" formatCode="0&quot;E&quot;">
                  <c:v>2030</c:v>
                </c:pt>
              </c:numCache>
            </c:numRef>
          </c:cat>
          <c:val>
            <c:numRef>
              <c:f>Graphs!$AE$3:$AN$3</c:f>
              <c:numCache>
                <c:formatCode>0.00%</c:formatCode>
                <c:ptCount val="10"/>
                <c:pt idx="0">
                  <c:v>0.26108133747725681</c:v>
                </c:pt>
                <c:pt idx="1">
                  <c:v>0.25714014001974711</c:v>
                </c:pt>
                <c:pt idx="2">
                  <c:v>0.24474030278988382</c:v>
                </c:pt>
                <c:pt idx="3">
                  <c:v>0.26464389180689896</c:v>
                </c:pt>
                <c:pt idx="4">
                  <c:v>0.25728668743623118</c:v>
                </c:pt>
                <c:pt idx="5">
                  <c:v>0.29923944147545417</c:v>
                </c:pt>
                <c:pt idx="6">
                  <c:v>0.30004508704010568</c:v>
                </c:pt>
                <c:pt idx="7">
                  <c:v>0.30124798564671385</c:v>
                </c:pt>
                <c:pt idx="8">
                  <c:v>0.30431301353976964</c:v>
                </c:pt>
                <c:pt idx="9">
                  <c:v>0.30423428801074315</c:v>
                </c:pt>
              </c:numCache>
            </c:numRef>
          </c:val>
          <c:extLst>
            <c:ext xmlns:c16="http://schemas.microsoft.com/office/drawing/2014/chart" uri="{C3380CC4-5D6E-409C-BE32-E72D297353CC}">
              <c16:uniqueId val="{00000000-51B2-416B-8016-F03F7A2055C0}"/>
            </c:ext>
          </c:extLst>
        </c:ser>
        <c:ser>
          <c:idx val="1"/>
          <c:order val="1"/>
          <c:tx>
            <c:strRef>
              <c:f>Graphs!$AD$4</c:f>
              <c:strCache>
                <c:ptCount val="1"/>
                <c:pt idx="0">
                  <c:v>Net Margins</c:v>
                </c:pt>
              </c:strCache>
            </c:strRef>
          </c:tx>
          <c:spPr>
            <a:solidFill>
              <a:schemeClr val="accent2"/>
            </a:solidFill>
            <a:ln>
              <a:noFill/>
            </a:ln>
            <a:effectLst/>
          </c:spPr>
          <c:invertIfNegative val="0"/>
          <c:cat>
            <c:numRef>
              <c:f>Graphs!$AE$2:$AN$2</c:f>
              <c:numCache>
                <c:formatCode>0"A"</c:formatCode>
                <c:ptCount val="10"/>
                <c:pt idx="0">
                  <c:v>2021</c:v>
                </c:pt>
                <c:pt idx="1">
                  <c:v>2022</c:v>
                </c:pt>
                <c:pt idx="2">
                  <c:v>2023</c:v>
                </c:pt>
                <c:pt idx="3">
                  <c:v>2024</c:v>
                </c:pt>
                <c:pt idx="4">
                  <c:v>2025</c:v>
                </c:pt>
                <c:pt idx="5" formatCode="0&quot;E&quot;">
                  <c:v>2026</c:v>
                </c:pt>
                <c:pt idx="6" formatCode="0&quot;E&quot;">
                  <c:v>2027</c:v>
                </c:pt>
                <c:pt idx="7" formatCode="0&quot;E&quot;">
                  <c:v>2028</c:v>
                </c:pt>
                <c:pt idx="8" formatCode="0&quot;E&quot;">
                  <c:v>2029</c:v>
                </c:pt>
                <c:pt idx="9" formatCode="0&quot;E&quot;">
                  <c:v>2030</c:v>
                </c:pt>
              </c:numCache>
            </c:numRef>
          </c:cat>
          <c:val>
            <c:numRef>
              <c:f>Graphs!$AE$4:$AN$4</c:f>
              <c:numCache>
                <c:formatCode>0.00%</c:formatCode>
                <c:ptCount val="10"/>
                <c:pt idx="0">
                  <c:v>0.15100070087999376</c:v>
                </c:pt>
                <c:pt idx="1">
                  <c:v>0.14809479722869426</c:v>
                </c:pt>
                <c:pt idx="2">
                  <c:v>0.15253610981295715</c:v>
                </c:pt>
                <c:pt idx="3">
                  <c:v>0.17372288900571581</c:v>
                </c:pt>
                <c:pt idx="4">
                  <c:v>0.2500771324798774</c:v>
                </c:pt>
                <c:pt idx="5">
                  <c:v>0.1784465077621068</c:v>
                </c:pt>
                <c:pt idx="6">
                  <c:v>0.18243497159522112</c:v>
                </c:pt>
                <c:pt idx="7">
                  <c:v>0.17725069775622893</c:v>
                </c:pt>
                <c:pt idx="8">
                  <c:v>0.18283365413164421</c:v>
                </c:pt>
                <c:pt idx="9">
                  <c:v>0.18741907645491149</c:v>
                </c:pt>
              </c:numCache>
            </c:numRef>
          </c:val>
          <c:extLst>
            <c:ext xmlns:c16="http://schemas.microsoft.com/office/drawing/2014/chart" uri="{C3380CC4-5D6E-409C-BE32-E72D297353CC}">
              <c16:uniqueId val="{00000001-51B2-416B-8016-F03F7A2055C0}"/>
            </c:ext>
          </c:extLst>
        </c:ser>
        <c:dLbls>
          <c:showLegendKey val="0"/>
          <c:showVal val="0"/>
          <c:showCatName val="0"/>
          <c:showSerName val="0"/>
          <c:showPercent val="0"/>
          <c:showBubbleSize val="0"/>
        </c:dLbls>
        <c:gapWidth val="219"/>
        <c:overlap val="-27"/>
        <c:axId val="755930399"/>
        <c:axId val="482130639"/>
      </c:barChart>
      <c:catAx>
        <c:axId val="755930399"/>
        <c:scaling>
          <c:orientation val="minMax"/>
        </c:scaling>
        <c:delete val="0"/>
        <c:axPos val="b"/>
        <c:numFmt formatCode="0&quot;A&quot;"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82130639"/>
        <c:crosses val="autoZero"/>
        <c:auto val="1"/>
        <c:lblAlgn val="ctr"/>
        <c:lblOffset val="100"/>
        <c:noMultiLvlLbl val="0"/>
      </c:catAx>
      <c:valAx>
        <c:axId val="482130639"/>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559303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Graphs!$AP$3</c:f>
              <c:strCache>
                <c:ptCount val="1"/>
                <c:pt idx="0">
                  <c:v>Corporate Revenue</c:v>
                </c:pt>
              </c:strCache>
            </c:strRef>
          </c:tx>
          <c:spPr>
            <a:solidFill>
              <a:srgbClr val="00B050"/>
            </a:solidFill>
            <a:ln>
              <a:noFill/>
            </a:ln>
            <a:effectLst/>
          </c:spPr>
          <c:invertIfNegative val="0"/>
          <c:dPt>
            <c:idx val="5"/>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F0A2-400A-94CE-88930400C1B8}"/>
              </c:ext>
            </c:extLst>
          </c:dPt>
          <c:dPt>
            <c:idx val="6"/>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8-F0A2-400A-94CE-88930400C1B8}"/>
              </c:ext>
            </c:extLst>
          </c:dPt>
          <c:dPt>
            <c:idx val="7"/>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9-F0A2-400A-94CE-88930400C1B8}"/>
              </c:ext>
            </c:extLst>
          </c:dPt>
          <c:dPt>
            <c:idx val="8"/>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A-F0A2-400A-94CE-88930400C1B8}"/>
              </c:ext>
            </c:extLst>
          </c:dPt>
          <c:dPt>
            <c:idx val="9"/>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B-F0A2-400A-94CE-88930400C1B8}"/>
              </c:ext>
            </c:extLst>
          </c:dPt>
          <c:cat>
            <c:numRef>
              <c:f>Graphs!$AQ$2:$AZ$2</c:f>
              <c:numCache>
                <c:formatCode>0"A"</c:formatCode>
                <c:ptCount val="10"/>
                <c:pt idx="0">
                  <c:v>2021</c:v>
                </c:pt>
                <c:pt idx="1">
                  <c:v>2022</c:v>
                </c:pt>
                <c:pt idx="2">
                  <c:v>2023</c:v>
                </c:pt>
                <c:pt idx="3">
                  <c:v>2024</c:v>
                </c:pt>
                <c:pt idx="4">
                  <c:v>2025</c:v>
                </c:pt>
                <c:pt idx="5" formatCode="0&quot;E&quot;">
                  <c:v>2026</c:v>
                </c:pt>
                <c:pt idx="6" formatCode="0&quot;E&quot;">
                  <c:v>2027</c:v>
                </c:pt>
                <c:pt idx="7" formatCode="0&quot;E&quot;">
                  <c:v>2028</c:v>
                </c:pt>
                <c:pt idx="8" formatCode="0&quot;E&quot;">
                  <c:v>2029</c:v>
                </c:pt>
                <c:pt idx="9" formatCode="0&quot;E&quot;">
                  <c:v>2030</c:v>
                </c:pt>
              </c:numCache>
            </c:numRef>
          </c:cat>
          <c:val>
            <c:numRef>
              <c:f>Graphs!$AQ$3:$AZ$3</c:f>
              <c:numCache>
                <c:formatCode>General</c:formatCode>
                <c:ptCount val="10"/>
                <c:pt idx="0">
                  <c:v>282.50200000000001</c:v>
                </c:pt>
                <c:pt idx="1">
                  <c:v>357.52100000000002</c:v>
                </c:pt>
                <c:pt idx="2">
                  <c:v>460.05500000000001</c:v>
                </c:pt>
                <c:pt idx="3">
                  <c:v>625.80700000000002</c:v>
                </c:pt>
                <c:pt idx="4">
                  <c:v>696.85299999999995</c:v>
                </c:pt>
                <c:pt idx="5">
                  <c:v>762.02912576595736</c:v>
                </c:pt>
                <c:pt idx="6">
                  <c:v>821.42192707382969</c:v>
                </c:pt>
                <c:pt idx="7">
                  <c:v>942.83920704528498</c:v>
                </c:pt>
                <c:pt idx="8">
                  <c:v>1066.1835242848665</c:v>
                </c:pt>
                <c:pt idx="9">
                  <c:v>1211.5279015912781</c:v>
                </c:pt>
              </c:numCache>
            </c:numRef>
          </c:val>
          <c:extLst>
            <c:ext xmlns:c16="http://schemas.microsoft.com/office/drawing/2014/chart" uri="{C3380CC4-5D6E-409C-BE32-E72D297353CC}">
              <c16:uniqueId val="{00000000-F0A2-400A-94CE-88930400C1B8}"/>
            </c:ext>
          </c:extLst>
        </c:ser>
        <c:ser>
          <c:idx val="1"/>
          <c:order val="1"/>
          <c:tx>
            <c:strRef>
              <c:f>Graphs!$AP$4</c:f>
              <c:strCache>
                <c:ptCount val="1"/>
                <c:pt idx="0">
                  <c:v>Systemwide Sales</c:v>
                </c:pt>
              </c:strCache>
            </c:strRef>
          </c:tx>
          <c:spPr>
            <a:solidFill>
              <a:schemeClr val="tx1"/>
            </a:solidFill>
            <a:ln>
              <a:noFill/>
            </a:ln>
            <a:effectLst/>
          </c:spPr>
          <c:invertIfNegative val="0"/>
          <c:dPt>
            <c:idx val="5"/>
            <c:invertIfNegative val="0"/>
            <c:bubble3D val="0"/>
            <c:spPr>
              <a:solidFill>
                <a:schemeClr val="bg2">
                  <a:lumMod val="75000"/>
                </a:schemeClr>
              </a:solidFill>
              <a:ln>
                <a:noFill/>
              </a:ln>
              <a:effectLst/>
            </c:spPr>
            <c:extLst>
              <c:ext xmlns:c16="http://schemas.microsoft.com/office/drawing/2014/chart" uri="{C3380CC4-5D6E-409C-BE32-E72D297353CC}">
                <c16:uniqueId val="{00000002-F0A2-400A-94CE-88930400C1B8}"/>
              </c:ext>
            </c:extLst>
          </c:dPt>
          <c:dPt>
            <c:idx val="6"/>
            <c:invertIfNegative val="0"/>
            <c:bubble3D val="0"/>
            <c:spPr>
              <a:solidFill>
                <a:schemeClr val="bg2">
                  <a:lumMod val="75000"/>
                </a:schemeClr>
              </a:solidFill>
              <a:ln>
                <a:noFill/>
              </a:ln>
              <a:effectLst/>
            </c:spPr>
            <c:extLst>
              <c:ext xmlns:c16="http://schemas.microsoft.com/office/drawing/2014/chart" uri="{C3380CC4-5D6E-409C-BE32-E72D297353CC}">
                <c16:uniqueId val="{00000003-F0A2-400A-94CE-88930400C1B8}"/>
              </c:ext>
            </c:extLst>
          </c:dPt>
          <c:dPt>
            <c:idx val="7"/>
            <c:invertIfNegative val="0"/>
            <c:bubble3D val="0"/>
            <c:spPr>
              <a:solidFill>
                <a:schemeClr val="bg2">
                  <a:lumMod val="75000"/>
                </a:schemeClr>
              </a:solidFill>
              <a:ln>
                <a:noFill/>
              </a:ln>
              <a:effectLst/>
            </c:spPr>
            <c:extLst>
              <c:ext xmlns:c16="http://schemas.microsoft.com/office/drawing/2014/chart" uri="{C3380CC4-5D6E-409C-BE32-E72D297353CC}">
                <c16:uniqueId val="{00000004-F0A2-400A-94CE-88930400C1B8}"/>
              </c:ext>
            </c:extLst>
          </c:dPt>
          <c:dPt>
            <c:idx val="8"/>
            <c:invertIfNegative val="0"/>
            <c:bubble3D val="0"/>
            <c:spPr>
              <a:solidFill>
                <a:schemeClr val="bg2">
                  <a:lumMod val="75000"/>
                </a:schemeClr>
              </a:solidFill>
              <a:ln>
                <a:noFill/>
              </a:ln>
              <a:effectLst/>
            </c:spPr>
            <c:extLst>
              <c:ext xmlns:c16="http://schemas.microsoft.com/office/drawing/2014/chart" uri="{C3380CC4-5D6E-409C-BE32-E72D297353CC}">
                <c16:uniqueId val="{00000005-F0A2-400A-94CE-88930400C1B8}"/>
              </c:ext>
            </c:extLst>
          </c:dPt>
          <c:dPt>
            <c:idx val="9"/>
            <c:invertIfNegative val="0"/>
            <c:bubble3D val="0"/>
            <c:spPr>
              <a:solidFill>
                <a:schemeClr val="bg2">
                  <a:lumMod val="75000"/>
                </a:schemeClr>
              </a:solidFill>
              <a:ln>
                <a:noFill/>
              </a:ln>
              <a:effectLst/>
            </c:spPr>
            <c:extLst>
              <c:ext xmlns:c16="http://schemas.microsoft.com/office/drawing/2014/chart" uri="{C3380CC4-5D6E-409C-BE32-E72D297353CC}">
                <c16:uniqueId val="{00000006-F0A2-400A-94CE-88930400C1B8}"/>
              </c:ext>
            </c:extLst>
          </c:dPt>
          <c:cat>
            <c:numRef>
              <c:f>Graphs!$AQ$2:$AZ$2</c:f>
              <c:numCache>
                <c:formatCode>0"A"</c:formatCode>
                <c:ptCount val="10"/>
                <c:pt idx="0">
                  <c:v>2021</c:v>
                </c:pt>
                <c:pt idx="1">
                  <c:v>2022</c:v>
                </c:pt>
                <c:pt idx="2">
                  <c:v>2023</c:v>
                </c:pt>
                <c:pt idx="3">
                  <c:v>2024</c:v>
                </c:pt>
                <c:pt idx="4">
                  <c:v>2025</c:v>
                </c:pt>
                <c:pt idx="5" formatCode="0&quot;E&quot;">
                  <c:v>2026</c:v>
                </c:pt>
                <c:pt idx="6" formatCode="0&quot;E&quot;">
                  <c:v>2027</c:v>
                </c:pt>
                <c:pt idx="7" formatCode="0&quot;E&quot;">
                  <c:v>2028</c:v>
                </c:pt>
                <c:pt idx="8" formatCode="0&quot;E&quot;">
                  <c:v>2029</c:v>
                </c:pt>
                <c:pt idx="9" formatCode="0&quot;E&quot;">
                  <c:v>2030</c:v>
                </c:pt>
              </c:numCache>
            </c:numRef>
          </c:cat>
          <c:val>
            <c:numRef>
              <c:f>Graphs!$AQ$4:$AZ$4</c:f>
              <c:numCache>
                <c:formatCode>General</c:formatCode>
                <c:ptCount val="10"/>
                <c:pt idx="0">
                  <c:v>2300</c:v>
                </c:pt>
                <c:pt idx="1">
                  <c:v>2700</c:v>
                </c:pt>
                <c:pt idx="2">
                  <c:v>3500</c:v>
                </c:pt>
                <c:pt idx="3">
                  <c:v>4700</c:v>
                </c:pt>
                <c:pt idx="4">
                  <c:v>5300</c:v>
                </c:pt>
                <c:pt idx="5">
                  <c:v>5648.0567627659566</c:v>
                </c:pt>
                <c:pt idx="6">
                  <c:v>6136.5556045638286</c:v>
                </c:pt>
                <c:pt idx="7">
                  <c:v>7045.6238090380839</c:v>
                </c:pt>
                <c:pt idx="8">
                  <c:v>8090.8239414592708</c:v>
                </c:pt>
                <c:pt idx="9">
                  <c:v>9331.8567037499452</c:v>
                </c:pt>
              </c:numCache>
            </c:numRef>
          </c:val>
          <c:extLst>
            <c:ext xmlns:c16="http://schemas.microsoft.com/office/drawing/2014/chart" uri="{C3380CC4-5D6E-409C-BE32-E72D297353CC}">
              <c16:uniqueId val="{00000001-F0A2-400A-94CE-88930400C1B8}"/>
            </c:ext>
          </c:extLst>
        </c:ser>
        <c:dLbls>
          <c:showLegendKey val="0"/>
          <c:showVal val="0"/>
          <c:showCatName val="0"/>
          <c:showSerName val="0"/>
          <c:showPercent val="0"/>
          <c:showBubbleSize val="0"/>
        </c:dLbls>
        <c:gapWidth val="219"/>
        <c:overlap val="-27"/>
        <c:axId val="548316624"/>
        <c:axId val="719604016"/>
      </c:barChart>
      <c:catAx>
        <c:axId val="548316624"/>
        <c:scaling>
          <c:orientation val="minMax"/>
        </c:scaling>
        <c:delete val="0"/>
        <c:axPos val="b"/>
        <c:numFmt formatCode="0&quot;A&quot;"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19604016"/>
        <c:crosses val="autoZero"/>
        <c:auto val="1"/>
        <c:lblAlgn val="ctr"/>
        <c:lblOffset val="100"/>
        <c:noMultiLvlLbl val="0"/>
      </c:catAx>
      <c:valAx>
        <c:axId val="71960401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 in MM)</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548316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tx1"/>
              </a:solidFill>
              <a:ln>
                <a:noFill/>
              </a:ln>
              <a:effectLst/>
            </c:spPr>
            <c:extLst>
              <c:ext xmlns:c16="http://schemas.microsoft.com/office/drawing/2014/chart" uri="{C3380CC4-5D6E-409C-BE32-E72D297353CC}">
                <c16:uniqueId val="{00000001-DAEC-449E-AB3C-41D1AB8FFBB8}"/>
              </c:ext>
            </c:extLst>
          </c:dPt>
          <c:dPt>
            <c:idx val="1"/>
            <c:invertIfNegative val="0"/>
            <c:bubble3D val="0"/>
            <c:spPr>
              <a:solidFill>
                <a:schemeClr val="accent6"/>
              </a:solidFill>
              <a:ln>
                <a:noFill/>
              </a:ln>
              <a:effectLst/>
            </c:spPr>
            <c:extLst>
              <c:ext xmlns:c16="http://schemas.microsoft.com/office/drawing/2014/chart" uri="{C3380CC4-5D6E-409C-BE32-E72D297353CC}">
                <c16:uniqueId val="{00000002-DAEC-449E-AB3C-41D1AB8FFBB8}"/>
              </c:ext>
            </c:extLst>
          </c:dPt>
          <c:dPt>
            <c:idx val="2"/>
            <c:invertIfNegative val="0"/>
            <c:bubble3D val="0"/>
            <c:spPr>
              <a:solidFill>
                <a:schemeClr val="bg2">
                  <a:lumMod val="75000"/>
                </a:schemeClr>
              </a:solidFill>
              <a:ln>
                <a:noFill/>
              </a:ln>
              <a:effectLst/>
            </c:spPr>
            <c:extLst>
              <c:ext xmlns:c16="http://schemas.microsoft.com/office/drawing/2014/chart" uri="{C3380CC4-5D6E-409C-BE32-E72D297353CC}">
                <c16:uniqueId val="{00000003-DAEC-449E-AB3C-41D1AB8FFBB8}"/>
              </c:ext>
            </c:extLst>
          </c:dPt>
          <c:cat>
            <c:strRef>
              <c:f>Graphs!$BB$3:$BB$5</c:f>
              <c:strCache>
                <c:ptCount val="3"/>
                <c:pt idx="0">
                  <c:v>Current Stores</c:v>
                </c:pt>
                <c:pt idx="1">
                  <c:v>Current + Committed Pipeline</c:v>
                </c:pt>
                <c:pt idx="2">
                  <c:v>Long-term Target</c:v>
                </c:pt>
              </c:strCache>
            </c:strRef>
          </c:cat>
          <c:val>
            <c:numRef>
              <c:f>Graphs!$BC$3:$BC$5</c:f>
              <c:numCache>
                <c:formatCode>General</c:formatCode>
                <c:ptCount val="3"/>
                <c:pt idx="0">
                  <c:v>3255</c:v>
                </c:pt>
                <c:pt idx="1">
                  <c:v>5455</c:v>
                </c:pt>
                <c:pt idx="2">
                  <c:v>10000</c:v>
                </c:pt>
              </c:numCache>
            </c:numRef>
          </c:val>
          <c:extLst>
            <c:ext xmlns:c16="http://schemas.microsoft.com/office/drawing/2014/chart" uri="{C3380CC4-5D6E-409C-BE32-E72D297353CC}">
              <c16:uniqueId val="{00000000-DAEC-449E-AB3C-41D1AB8FFBB8}"/>
            </c:ext>
          </c:extLst>
        </c:ser>
        <c:dLbls>
          <c:showLegendKey val="0"/>
          <c:showVal val="0"/>
          <c:showCatName val="0"/>
          <c:showSerName val="0"/>
          <c:showPercent val="0"/>
          <c:showBubbleSize val="0"/>
        </c:dLbls>
        <c:gapWidth val="219"/>
        <c:overlap val="-27"/>
        <c:axId val="1035256672"/>
        <c:axId val="533004784"/>
      </c:barChart>
      <c:catAx>
        <c:axId val="1035256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533004784"/>
        <c:crosses val="autoZero"/>
        <c:auto val="1"/>
        <c:lblAlgn val="ctr"/>
        <c:lblOffset val="100"/>
        <c:noMultiLvlLbl val="0"/>
      </c:catAx>
      <c:valAx>
        <c:axId val="53300478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035256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explosion val="4"/>
          <c:dPt>
            <c:idx val="0"/>
            <c:bubble3D val="0"/>
            <c:spPr>
              <a:solidFill>
                <a:schemeClr val="tx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37CD-4D51-AC88-9ABD54924DE1}"/>
              </c:ext>
            </c:extLst>
          </c:dPt>
          <c:dPt>
            <c:idx val="1"/>
            <c:bubble3D val="0"/>
            <c:spPr>
              <a:solidFill>
                <a:schemeClr val="bg2">
                  <a:lumMod val="7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37CD-4D51-AC88-9ABD54924DE1}"/>
              </c:ext>
            </c:extLst>
          </c:dPt>
          <c:dPt>
            <c:idx val="2"/>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37CD-4D51-AC88-9ABD54924DE1}"/>
              </c:ext>
            </c:extLst>
          </c:dPt>
          <c:dLbls>
            <c:dLbl>
              <c:idx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0"/>
              <c:showCatName val="1"/>
              <c:showSerName val="0"/>
              <c:showPercent val="0"/>
              <c:showBubbleSize val="0"/>
              <c:extLst>
                <c:ext xmlns:c16="http://schemas.microsoft.com/office/drawing/2014/chart" uri="{C3380CC4-5D6E-409C-BE32-E72D297353CC}">
                  <c16:uniqueId val="{00000001-37CD-4D51-AC88-9ABD54924DE1}"/>
                </c:ext>
              </c:extLst>
            </c:dLbl>
            <c:dLbl>
              <c:idx val="1"/>
              <c:spPr>
                <a:noFill/>
                <a:ln>
                  <a:noFill/>
                </a:ln>
                <a:effectLst/>
              </c:spPr>
              <c:txPr>
                <a:bodyPr rot="0" spcFirstLastPara="1" vertOverflow="ellipsis" vert="horz" wrap="square" anchor="ctr" anchorCtr="1"/>
                <a:lstStyle/>
                <a:p>
                  <a:pPr>
                    <a:defRPr sz="1000" b="1" i="0" u="none" strike="noStrike" kern="1200" spc="0" baseline="0">
                      <a:solidFill>
                        <a:schemeClr val="bg2">
                          <a:lumMod val="75000"/>
                        </a:schemeClr>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0"/>
              <c:showCatName val="1"/>
              <c:showSerName val="0"/>
              <c:showPercent val="0"/>
              <c:showBubbleSize val="0"/>
              <c:extLst>
                <c:ext xmlns:c16="http://schemas.microsoft.com/office/drawing/2014/chart" uri="{C3380CC4-5D6E-409C-BE32-E72D297353CC}">
                  <c16:uniqueId val="{00000002-37CD-4D51-AC88-9ABD54924DE1}"/>
                </c:ext>
              </c:extLst>
            </c:dLbl>
            <c:dLbl>
              <c:idx val="2"/>
              <c:spPr>
                <a:noFill/>
                <a:ln>
                  <a:noFill/>
                </a:ln>
                <a:effectLst/>
              </c:spPr>
              <c:txPr>
                <a:bodyPr rot="0" spcFirstLastPara="1" vertOverflow="ellipsis" vert="horz" wrap="square" anchor="ctr" anchorCtr="1"/>
                <a:lstStyle/>
                <a:p>
                  <a:pPr>
                    <a:defRPr sz="1000" b="1" i="0" u="none" strike="noStrike" kern="1200" spc="0" baseline="0">
                      <a:solidFill>
                        <a:schemeClr val="accent3"/>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0"/>
              <c:showCatName val="1"/>
              <c:showSerName val="0"/>
              <c:showPercent val="0"/>
              <c:showBubbleSize val="0"/>
              <c:extLst>
                <c:ext xmlns:c16="http://schemas.microsoft.com/office/drawing/2014/chart" uri="{C3380CC4-5D6E-409C-BE32-E72D297353CC}">
                  <c16:uniqueId val="{00000003-37CD-4D51-AC88-9ABD54924DE1}"/>
                </c:ext>
              </c:extLst>
            </c:dLbl>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Graphs!$BF$3:$BF$5</c:f>
              <c:strCache>
                <c:ptCount val="3"/>
                <c:pt idx="0">
                  <c:v>Royalty revenue, franchise fees and other</c:v>
                </c:pt>
                <c:pt idx="1">
                  <c:v>Advertising fees</c:v>
                </c:pt>
                <c:pt idx="2">
                  <c:v>Company-owned restaurant sales</c:v>
                </c:pt>
              </c:strCache>
            </c:strRef>
          </c:cat>
          <c:val>
            <c:numRef>
              <c:f>Graphs!$BG$3:$BG$5</c:f>
              <c:numCache>
                <c:formatCode>0.00%</c:formatCode>
                <c:ptCount val="3"/>
                <c:pt idx="0">
                  <c:v>0.46176453283547608</c:v>
                </c:pt>
                <c:pt idx="1">
                  <c:v>0.35533893087925289</c:v>
                </c:pt>
                <c:pt idx="2">
                  <c:v>0.18289653628527106</c:v>
                </c:pt>
              </c:numCache>
            </c:numRef>
          </c:val>
          <c:extLst>
            <c:ext xmlns:c16="http://schemas.microsoft.com/office/drawing/2014/chart" uri="{C3380CC4-5D6E-409C-BE32-E72D297353CC}">
              <c16:uniqueId val="{00000000-37CD-4D51-AC88-9ABD54924DE1}"/>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82174103237095"/>
          <c:y val="5.0925925925925923E-2"/>
          <c:w val="0.76303696412948385"/>
          <c:h val="0.74686570428696408"/>
        </c:manualLayout>
      </c:layout>
      <c:barChart>
        <c:barDir val="col"/>
        <c:grouping val="clustered"/>
        <c:varyColors val="0"/>
        <c:ser>
          <c:idx val="0"/>
          <c:order val="0"/>
          <c:tx>
            <c:strRef>
              <c:f>Graphs!$AD$28</c:f>
              <c:strCache>
                <c:ptCount val="1"/>
                <c:pt idx="0">
                  <c:v>Ad Fund</c:v>
                </c:pt>
              </c:strCache>
            </c:strRef>
          </c:tx>
          <c:spPr>
            <a:solidFill>
              <a:schemeClr val="tx1"/>
            </a:solidFill>
            <a:ln>
              <a:noFill/>
            </a:ln>
            <a:effectLst/>
          </c:spPr>
          <c:invertIfNegative val="0"/>
          <c:cat>
            <c:numRef>
              <c:f>Graphs!$AE$27:$AI$27</c:f>
              <c:numCache>
                <c:formatCode>0"A"</c:formatCode>
                <c:ptCount val="5"/>
                <c:pt idx="0">
                  <c:v>2021</c:v>
                </c:pt>
                <c:pt idx="1">
                  <c:v>2022</c:v>
                </c:pt>
                <c:pt idx="2">
                  <c:v>2023</c:v>
                </c:pt>
                <c:pt idx="3">
                  <c:v>2024</c:v>
                </c:pt>
                <c:pt idx="4">
                  <c:v>2025</c:v>
                </c:pt>
              </c:numCache>
            </c:numRef>
          </c:cat>
          <c:val>
            <c:numRef>
              <c:f>Graphs!$AE$28:$AI$28</c:f>
              <c:numCache>
                <c:formatCode>General</c:formatCode>
                <c:ptCount val="5"/>
                <c:pt idx="0">
                  <c:v>81.528999999999996</c:v>
                </c:pt>
                <c:pt idx="1">
                  <c:v>119.011</c:v>
                </c:pt>
                <c:pt idx="2">
                  <c:v>157.13800000000001</c:v>
                </c:pt>
                <c:pt idx="3">
                  <c:v>217.63</c:v>
                </c:pt>
                <c:pt idx="4">
                  <c:v>247.619</c:v>
                </c:pt>
              </c:numCache>
            </c:numRef>
          </c:val>
          <c:extLst>
            <c:ext xmlns:c16="http://schemas.microsoft.com/office/drawing/2014/chart" uri="{C3380CC4-5D6E-409C-BE32-E72D297353CC}">
              <c16:uniqueId val="{00000000-97AC-4402-87B4-820A9D76A39C}"/>
            </c:ext>
          </c:extLst>
        </c:ser>
        <c:dLbls>
          <c:showLegendKey val="0"/>
          <c:showVal val="0"/>
          <c:showCatName val="0"/>
          <c:showSerName val="0"/>
          <c:showPercent val="0"/>
          <c:showBubbleSize val="0"/>
        </c:dLbls>
        <c:gapWidth val="219"/>
        <c:overlap val="-27"/>
        <c:axId val="984117808"/>
        <c:axId val="532994704"/>
      </c:barChart>
      <c:lineChart>
        <c:grouping val="standard"/>
        <c:varyColors val="0"/>
        <c:ser>
          <c:idx val="1"/>
          <c:order val="1"/>
          <c:tx>
            <c:strRef>
              <c:f>Graphs!$AD$29</c:f>
              <c:strCache>
                <c:ptCount val="1"/>
                <c:pt idx="0">
                  <c:v>Collection Rate</c:v>
                </c:pt>
              </c:strCache>
            </c:strRef>
          </c:tx>
          <c:spPr>
            <a:ln w="28575" cap="rnd">
              <a:solidFill>
                <a:schemeClr val="accent6"/>
              </a:solidFill>
              <a:round/>
            </a:ln>
            <a:effectLst/>
          </c:spPr>
          <c:marker>
            <c:symbol val="none"/>
          </c:marker>
          <c:cat>
            <c:numRef>
              <c:f>Graphs!$AE$27:$AI$27</c:f>
              <c:numCache>
                <c:formatCode>0"A"</c:formatCode>
                <c:ptCount val="5"/>
                <c:pt idx="0">
                  <c:v>2021</c:v>
                </c:pt>
                <c:pt idx="1">
                  <c:v>2022</c:v>
                </c:pt>
                <c:pt idx="2">
                  <c:v>2023</c:v>
                </c:pt>
                <c:pt idx="3">
                  <c:v>2024</c:v>
                </c:pt>
                <c:pt idx="4">
                  <c:v>2025</c:v>
                </c:pt>
              </c:numCache>
            </c:numRef>
          </c:cat>
          <c:val>
            <c:numRef>
              <c:f>Graphs!$AE$29:$AI$29</c:f>
              <c:numCache>
                <c:formatCode>0%</c:formatCode>
                <c:ptCount val="5"/>
                <c:pt idx="0">
                  <c:v>0.04</c:v>
                </c:pt>
                <c:pt idx="1">
                  <c:v>0.05</c:v>
                </c:pt>
                <c:pt idx="2">
                  <c:v>0.05</c:v>
                </c:pt>
                <c:pt idx="3" formatCode="0.00%">
                  <c:v>5.2999999999999999E-2</c:v>
                </c:pt>
                <c:pt idx="4" formatCode="0.00%">
                  <c:v>5.5E-2</c:v>
                </c:pt>
              </c:numCache>
            </c:numRef>
          </c:val>
          <c:smooth val="0"/>
          <c:extLst>
            <c:ext xmlns:c16="http://schemas.microsoft.com/office/drawing/2014/chart" uri="{C3380CC4-5D6E-409C-BE32-E72D297353CC}">
              <c16:uniqueId val="{00000001-97AC-4402-87B4-820A9D76A39C}"/>
            </c:ext>
          </c:extLst>
        </c:ser>
        <c:dLbls>
          <c:showLegendKey val="0"/>
          <c:showVal val="0"/>
          <c:showCatName val="0"/>
          <c:showSerName val="0"/>
          <c:showPercent val="0"/>
          <c:showBubbleSize val="0"/>
        </c:dLbls>
        <c:marker val="1"/>
        <c:smooth val="0"/>
        <c:axId val="1189437776"/>
        <c:axId val="532986064"/>
      </c:lineChart>
      <c:catAx>
        <c:axId val="984117808"/>
        <c:scaling>
          <c:orientation val="minMax"/>
        </c:scaling>
        <c:delete val="0"/>
        <c:axPos val="b"/>
        <c:numFmt formatCode="0&quot;A&quot;"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532994704"/>
        <c:crosses val="autoZero"/>
        <c:auto val="1"/>
        <c:lblAlgn val="ctr"/>
        <c:lblOffset val="100"/>
        <c:noMultiLvlLbl val="0"/>
      </c:catAx>
      <c:valAx>
        <c:axId val="532994704"/>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 in MM)</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984117808"/>
        <c:crosses val="autoZero"/>
        <c:crossBetween val="between"/>
      </c:valAx>
      <c:valAx>
        <c:axId val="532986064"/>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accent6"/>
                    </a:solidFill>
                    <a:latin typeface="Times New Roman" panose="02020603050405020304" pitchFamily="18" charset="0"/>
                    <a:ea typeface="+mn-ea"/>
                    <a:cs typeface="Times New Roman" panose="02020603050405020304" pitchFamily="18" charset="0"/>
                  </a:defRPr>
                </a:pPr>
                <a:r>
                  <a:rPr lang="en-US">
                    <a:solidFill>
                      <a:schemeClr val="accent6"/>
                    </a:solidFill>
                  </a:rPr>
                  <a:t>Ad Fund Constibution Rate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accent6"/>
                  </a:solidFill>
                  <a:latin typeface="Times New Roman" panose="02020603050405020304" pitchFamily="18" charset="0"/>
                  <a:ea typeface="+mn-ea"/>
                  <a:cs typeface="Times New Roman" panose="02020603050405020304" pitchFamily="18"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189437776"/>
        <c:crosses val="max"/>
        <c:crossBetween val="between"/>
      </c:valAx>
      <c:catAx>
        <c:axId val="1189437776"/>
        <c:scaling>
          <c:orientation val="minMax"/>
        </c:scaling>
        <c:delete val="1"/>
        <c:axPos val="b"/>
        <c:numFmt formatCode="0&quot;A&quot;" sourceLinked="1"/>
        <c:majorTickMark val="none"/>
        <c:minorTickMark val="none"/>
        <c:tickLblPos val="nextTo"/>
        <c:crossAx val="532986064"/>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https://www.prnewswire.com/news-releases/wingstop-inc-reports-fiscal-first-quarter-financial-results-302756480.html"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655320</xdr:colOff>
      <xdr:row>0</xdr:row>
      <xdr:rowOff>60960</xdr:rowOff>
    </xdr:from>
    <xdr:to>
      <xdr:col>2</xdr:col>
      <xdr:colOff>1028700</xdr:colOff>
      <xdr:row>7</xdr:row>
      <xdr:rowOff>165682</xdr:rowOff>
    </xdr:to>
    <xdr:pic>
      <xdr:nvPicPr>
        <xdr:cNvPr id="3" name="Picture 2">
          <a:extLst>
            <a:ext uri="{FF2B5EF4-FFF2-40B4-BE49-F238E27FC236}">
              <a16:creationId xmlns:a16="http://schemas.microsoft.com/office/drawing/2014/main" id="{CA7E229A-E722-28C1-8477-84E53201BC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914400" y="60960"/>
          <a:ext cx="2743200" cy="14382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35994</xdr:colOff>
      <xdr:row>3</xdr:row>
      <xdr:rowOff>104877</xdr:rowOff>
    </xdr:from>
    <xdr:to>
      <xdr:col>8</xdr:col>
      <xdr:colOff>436447</xdr:colOff>
      <xdr:row>14</xdr:row>
      <xdr:rowOff>154203</xdr:rowOff>
    </xdr:to>
    <xdr:graphicFrame macro="">
      <xdr:nvGraphicFramePr>
        <xdr:cNvPr id="2" name="Chart 1">
          <a:extLst>
            <a:ext uri="{FF2B5EF4-FFF2-40B4-BE49-F238E27FC236}">
              <a16:creationId xmlns:a16="http://schemas.microsoft.com/office/drawing/2014/main" id="{F5C9F4FE-FF9F-CC08-BC7D-FE064EAB91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186690</xdr:colOff>
      <xdr:row>26</xdr:row>
      <xdr:rowOff>76200</xdr:rowOff>
    </xdr:from>
    <xdr:to>
      <xdr:col>25</xdr:col>
      <xdr:colOff>491490</xdr:colOff>
      <xdr:row>41</xdr:row>
      <xdr:rowOff>76200</xdr:rowOff>
    </xdr:to>
    <xdr:graphicFrame macro="">
      <xdr:nvGraphicFramePr>
        <xdr:cNvPr id="3" name="Chart 2">
          <a:extLst>
            <a:ext uri="{FF2B5EF4-FFF2-40B4-BE49-F238E27FC236}">
              <a16:creationId xmlns:a16="http://schemas.microsoft.com/office/drawing/2014/main" id="{6CA9C925-A046-B42E-93E1-210AF289D1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76200</xdr:colOff>
      <xdr:row>7</xdr:row>
      <xdr:rowOff>80010</xdr:rowOff>
    </xdr:from>
    <xdr:to>
      <xdr:col>25</xdr:col>
      <xdr:colOff>655320</xdr:colOff>
      <xdr:row>22</xdr:row>
      <xdr:rowOff>80010</xdr:rowOff>
    </xdr:to>
    <xdr:graphicFrame macro="">
      <xdr:nvGraphicFramePr>
        <xdr:cNvPr id="6" name="Chart 5">
          <a:extLst>
            <a:ext uri="{FF2B5EF4-FFF2-40B4-BE49-F238E27FC236}">
              <a16:creationId xmlns:a16="http://schemas.microsoft.com/office/drawing/2014/main" id="{15937720-D1E3-3E12-E71D-AF60228F58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444500</xdr:colOff>
      <xdr:row>7</xdr:row>
      <xdr:rowOff>47812</xdr:rowOff>
    </xdr:from>
    <xdr:to>
      <xdr:col>39</xdr:col>
      <xdr:colOff>115794</xdr:colOff>
      <xdr:row>22</xdr:row>
      <xdr:rowOff>101600</xdr:rowOff>
    </xdr:to>
    <xdr:graphicFrame macro="">
      <xdr:nvGraphicFramePr>
        <xdr:cNvPr id="7" name="Chart 6">
          <a:extLst>
            <a:ext uri="{FF2B5EF4-FFF2-40B4-BE49-F238E27FC236}">
              <a16:creationId xmlns:a16="http://schemas.microsoft.com/office/drawing/2014/main" id="{271B4352-86B9-A996-FDA4-F8111ECB9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41</xdr:col>
      <xdr:colOff>362323</xdr:colOff>
      <xdr:row>7</xdr:row>
      <xdr:rowOff>51547</xdr:rowOff>
    </xdr:from>
    <xdr:to>
      <xdr:col>46</xdr:col>
      <xdr:colOff>93382</xdr:colOff>
      <xdr:row>22</xdr:row>
      <xdr:rowOff>105335</xdr:rowOff>
    </xdr:to>
    <xdr:graphicFrame macro="">
      <xdr:nvGraphicFramePr>
        <xdr:cNvPr id="4" name="Chart 3">
          <a:extLst>
            <a:ext uri="{FF2B5EF4-FFF2-40B4-BE49-F238E27FC236}">
              <a16:creationId xmlns:a16="http://schemas.microsoft.com/office/drawing/2014/main" id="{B93BF14D-BF80-ADBD-DFDF-9CB896B254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50</xdr:col>
      <xdr:colOff>381002</xdr:colOff>
      <xdr:row>8</xdr:row>
      <xdr:rowOff>133723</xdr:rowOff>
    </xdr:from>
    <xdr:to>
      <xdr:col>55</xdr:col>
      <xdr:colOff>358590</xdr:colOff>
      <xdr:row>24</xdr:row>
      <xdr:rowOff>8217</xdr:rowOff>
    </xdr:to>
    <xdr:graphicFrame macro="">
      <xdr:nvGraphicFramePr>
        <xdr:cNvPr id="5" name="Chart 4">
          <a:extLst>
            <a:ext uri="{FF2B5EF4-FFF2-40B4-BE49-F238E27FC236}">
              <a16:creationId xmlns:a16="http://schemas.microsoft.com/office/drawing/2014/main" id="{AD1D9B5E-6FC4-43D0-20DE-98FFAAC03C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57</xdr:col>
      <xdr:colOff>104588</xdr:colOff>
      <xdr:row>8</xdr:row>
      <xdr:rowOff>96370</xdr:rowOff>
    </xdr:from>
    <xdr:to>
      <xdr:col>61</xdr:col>
      <xdr:colOff>388470</xdr:colOff>
      <xdr:row>23</xdr:row>
      <xdr:rowOff>150158</xdr:rowOff>
    </xdr:to>
    <xdr:graphicFrame macro="">
      <xdr:nvGraphicFramePr>
        <xdr:cNvPr id="8" name="Chart 7">
          <a:extLst>
            <a:ext uri="{FF2B5EF4-FFF2-40B4-BE49-F238E27FC236}">
              <a16:creationId xmlns:a16="http://schemas.microsoft.com/office/drawing/2014/main" id="{4F07F3D2-4F3F-DB9F-BC12-26310A8564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30</xdr:col>
      <xdr:colOff>355599</xdr:colOff>
      <xdr:row>32</xdr:row>
      <xdr:rowOff>3628</xdr:rowOff>
    </xdr:from>
    <xdr:to>
      <xdr:col>36</xdr:col>
      <xdr:colOff>580571</xdr:colOff>
      <xdr:row>47</xdr:row>
      <xdr:rowOff>25399</xdr:rowOff>
    </xdr:to>
    <xdr:graphicFrame macro="">
      <xdr:nvGraphicFramePr>
        <xdr:cNvPr id="9" name="Chart 8">
          <a:extLst>
            <a:ext uri="{FF2B5EF4-FFF2-40B4-BE49-F238E27FC236}">
              <a16:creationId xmlns:a16="http://schemas.microsoft.com/office/drawing/2014/main" id="{964F103F-85CF-E17D-2814-5E517EC0A7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1FD68-A578-4808-A902-53BE3283487B}">
  <dimension ref="B9:I36"/>
  <sheetViews>
    <sheetView showGridLines="0" tabSelected="1" zoomScale="66" workbookViewId="0">
      <selection activeCell="H21" sqref="H21"/>
    </sheetView>
  </sheetViews>
  <sheetFormatPr defaultRowHeight="15" x14ac:dyDescent="0.25"/>
  <cols>
    <col min="1" max="1" width="3.77734375" style="1" customWidth="1"/>
    <col min="2" max="2" width="34.5546875" style="1" bestFit="1" customWidth="1"/>
    <col min="3" max="3" width="20.77734375" style="1" customWidth="1"/>
    <col min="4" max="7" width="8.88671875" style="1"/>
    <col min="8" max="8" width="11.109375" style="1" bestFit="1" customWidth="1"/>
    <col min="9" max="16384" width="8.88671875" style="1"/>
  </cols>
  <sheetData>
    <row r="9" spans="2:5" ht="15.6" x14ac:dyDescent="0.3">
      <c r="B9" s="333" t="s">
        <v>2</v>
      </c>
      <c r="C9" s="334"/>
      <c r="D9" s="289"/>
      <c r="E9" s="287"/>
    </row>
    <row r="10" spans="2:5" x14ac:dyDescent="0.25">
      <c r="B10" s="5" t="s">
        <v>0</v>
      </c>
      <c r="C10" s="2">
        <v>1</v>
      </c>
    </row>
    <row r="11" spans="2:5" x14ac:dyDescent="0.25">
      <c r="B11" s="6" t="s">
        <v>3</v>
      </c>
      <c r="C11" s="3">
        <f>C10+1</f>
        <v>2</v>
      </c>
    </row>
    <row r="12" spans="2:5" x14ac:dyDescent="0.25">
      <c r="B12" s="6" t="s">
        <v>1</v>
      </c>
      <c r="C12" s="3">
        <f t="shared" ref="C12:C22" si="0">C11+1</f>
        <v>3</v>
      </c>
    </row>
    <row r="13" spans="2:5" x14ac:dyDescent="0.25">
      <c r="B13" s="6" t="s">
        <v>4</v>
      </c>
      <c r="C13" s="3">
        <f t="shared" si="0"/>
        <v>4</v>
      </c>
    </row>
    <row r="14" spans="2:5" x14ac:dyDescent="0.25">
      <c r="B14" s="6" t="s">
        <v>5</v>
      </c>
      <c r="C14" s="3">
        <f t="shared" si="0"/>
        <v>5</v>
      </c>
    </row>
    <row r="15" spans="2:5" x14ac:dyDescent="0.25">
      <c r="B15" s="6" t="s">
        <v>6</v>
      </c>
      <c r="C15" s="3">
        <f t="shared" si="0"/>
        <v>6</v>
      </c>
    </row>
    <row r="16" spans="2:5" x14ac:dyDescent="0.25">
      <c r="B16" s="6" t="s">
        <v>7</v>
      </c>
      <c r="C16" s="3">
        <f t="shared" si="0"/>
        <v>7</v>
      </c>
    </row>
    <row r="17" spans="2:9" x14ac:dyDescent="0.25">
      <c r="B17" s="6" t="s">
        <v>8</v>
      </c>
      <c r="C17" s="3">
        <f t="shared" si="0"/>
        <v>8</v>
      </c>
    </row>
    <row r="18" spans="2:9" x14ac:dyDescent="0.25">
      <c r="B18" s="6" t="s">
        <v>9</v>
      </c>
      <c r="C18" s="3">
        <f t="shared" si="0"/>
        <v>9</v>
      </c>
    </row>
    <row r="19" spans="2:9" x14ac:dyDescent="0.25">
      <c r="B19" s="6" t="s">
        <v>10</v>
      </c>
      <c r="C19" s="3">
        <f t="shared" si="0"/>
        <v>10</v>
      </c>
    </row>
    <row r="20" spans="2:9" x14ac:dyDescent="0.25">
      <c r="B20" s="6" t="s">
        <v>287</v>
      </c>
      <c r="C20" s="3">
        <f t="shared" si="0"/>
        <v>11</v>
      </c>
    </row>
    <row r="21" spans="2:9" x14ac:dyDescent="0.25">
      <c r="B21" s="6" t="s">
        <v>11</v>
      </c>
      <c r="C21" s="3">
        <f t="shared" si="0"/>
        <v>12</v>
      </c>
    </row>
    <row r="22" spans="2:9" x14ac:dyDescent="0.25">
      <c r="B22" s="7" t="s">
        <v>286</v>
      </c>
      <c r="C22" s="4">
        <f t="shared" si="0"/>
        <v>13</v>
      </c>
    </row>
    <row r="23" spans="2:9" ht="15.6" x14ac:dyDescent="0.3">
      <c r="B23" s="300" t="s">
        <v>12</v>
      </c>
      <c r="C23" s="301" t="s">
        <v>23</v>
      </c>
    </row>
    <row r="24" spans="2:9" ht="15.6" x14ac:dyDescent="0.3">
      <c r="B24" s="283" t="s">
        <v>268</v>
      </c>
      <c r="C24" s="288">
        <v>114.55</v>
      </c>
    </row>
    <row r="26" spans="2:9" ht="15.6" x14ac:dyDescent="0.3">
      <c r="B26" s="8" t="s">
        <v>9</v>
      </c>
      <c r="E26" s="8" t="s">
        <v>265</v>
      </c>
    </row>
    <row r="27" spans="2:9" x14ac:dyDescent="0.25">
      <c r="B27" s="217" t="s">
        <v>205</v>
      </c>
      <c r="C27" s="218">
        <f>DCF!F28</f>
        <v>195.43533903289318</v>
      </c>
      <c r="E27" s="215" t="s">
        <v>9</v>
      </c>
      <c r="F27" s="255"/>
      <c r="G27" s="255"/>
      <c r="H27" s="256">
        <f>C27</f>
        <v>195.43533903289318</v>
      </c>
      <c r="I27" s="177">
        <v>0.6</v>
      </c>
    </row>
    <row r="28" spans="2:9" x14ac:dyDescent="0.25">
      <c r="B28" s="7" t="s">
        <v>207</v>
      </c>
      <c r="C28" s="157">
        <f>DCF!F30</f>
        <v>0.70611382830984892</v>
      </c>
      <c r="E28" s="150" t="s">
        <v>239</v>
      </c>
      <c r="H28" s="257">
        <f>C31</f>
        <v>175.15915436925445</v>
      </c>
      <c r="I28" s="177">
        <v>0.2</v>
      </c>
    </row>
    <row r="29" spans="2:9" x14ac:dyDescent="0.25">
      <c r="E29" s="216" t="s">
        <v>240</v>
      </c>
      <c r="F29" s="18"/>
      <c r="G29" s="18"/>
      <c r="H29" s="259">
        <f>C35</f>
        <v>151.59256402646511</v>
      </c>
      <c r="I29" s="177">
        <v>0.2</v>
      </c>
    </row>
    <row r="30" spans="2:9" ht="15.6" x14ac:dyDescent="0.3">
      <c r="B30" s="8" t="s">
        <v>239</v>
      </c>
      <c r="E30" s="151" t="s">
        <v>260</v>
      </c>
      <c r="F30" s="18"/>
      <c r="G30" s="18"/>
      <c r="H30" s="258">
        <f>(H27*I27)+(H28*I28)+(H29*I29)</f>
        <v>182.61154709887984</v>
      </c>
    </row>
    <row r="31" spans="2:9" x14ac:dyDescent="0.25">
      <c r="B31" s="217" t="s">
        <v>205</v>
      </c>
      <c r="C31" s="218">
        <f>INDEX(Comps!C35:E35,MATCH(Cover!$C$23,Comps!$C$32:$E$32,0))</f>
        <v>175.15915436925445</v>
      </c>
      <c r="E31" s="217" t="s">
        <v>207</v>
      </c>
      <c r="F31" s="157"/>
      <c r="G31" s="282"/>
      <c r="H31" s="157">
        <f>H30/C24-1</f>
        <v>0.59416453163579086</v>
      </c>
    </row>
    <row r="32" spans="2:9" x14ac:dyDescent="0.25">
      <c r="B32" s="7" t="s">
        <v>207</v>
      </c>
      <c r="C32" s="157">
        <f>INDEX(Comps!C37:E37,MATCH(Cover!$C$23,Comps!$C$32:$E$32,0))</f>
        <v>0.52910654185294148</v>
      </c>
    </row>
    <row r="34" spans="2:3" ht="15.6" x14ac:dyDescent="0.3">
      <c r="B34" s="8" t="s">
        <v>240</v>
      </c>
    </row>
    <row r="35" spans="2:3" x14ac:dyDescent="0.25">
      <c r="B35" s="217" t="s">
        <v>205</v>
      </c>
      <c r="C35" s="218">
        <f>INDEX(Comps!C48:E48,MATCH(Cover!$C$23,Comps!$C$32:$E$32,0))</f>
        <v>151.59256402646511</v>
      </c>
    </row>
    <row r="36" spans="2:3" x14ac:dyDescent="0.25">
      <c r="B36" s="7" t="s">
        <v>207</v>
      </c>
      <c r="C36" s="157">
        <f>INDEX(Comps!C50:E50,MATCH(Cover!$C$23,Comps!$C$32:$E$32,0))</f>
        <v>0.32337463139646538</v>
      </c>
    </row>
  </sheetData>
  <mergeCells count="1">
    <mergeCell ref="B9:C9"/>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5AA1C0AE-6016-4128-9827-DD4EE115441E}">
          <x14:formula1>
            <xm:f>'Revenue Buildout'!B$16:B$18</xm:f>
          </x14:formula1>
          <xm:sqref>C23</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3D0D0-71EA-4B41-BA19-E9503717C99F}">
  <dimension ref="B2:H35"/>
  <sheetViews>
    <sheetView showGridLines="0" zoomScale="90" workbookViewId="0">
      <pane xSplit="1" ySplit="4" topLeftCell="B17" activePane="bottomRight" state="frozen"/>
      <selection pane="topRight" activeCell="B1" sqref="B1"/>
      <selection pane="bottomLeft" activeCell="A5" sqref="A5"/>
      <selection pane="bottomRight" activeCell="I38" sqref="I38"/>
    </sheetView>
  </sheetViews>
  <sheetFormatPr defaultRowHeight="15" x14ac:dyDescent="0.25"/>
  <cols>
    <col min="1" max="1" width="3.77734375" style="1" customWidth="1"/>
    <col min="2" max="2" width="66.77734375" style="1" bestFit="1" customWidth="1"/>
    <col min="3" max="3" width="8.88671875" style="1" customWidth="1"/>
    <col min="4" max="4" width="12" style="1" bestFit="1" customWidth="1"/>
    <col min="5" max="5" width="13.88671875" style="1" bestFit="1" customWidth="1"/>
    <col min="6" max="6" width="14.5546875" style="1" bestFit="1" customWidth="1"/>
    <col min="7" max="8" width="11.77734375" style="1" bestFit="1" customWidth="1"/>
    <col min="9" max="16384" width="8.88671875" style="1"/>
  </cols>
  <sheetData>
    <row r="2" spans="2:8" ht="15.6" x14ac:dyDescent="0.3">
      <c r="B2" s="11" t="s">
        <v>130</v>
      </c>
      <c r="C2" s="11"/>
      <c r="D2" s="11"/>
      <c r="E2" s="11"/>
      <c r="F2" s="11"/>
    </row>
    <row r="3" spans="2:8" ht="15.6" x14ac:dyDescent="0.3">
      <c r="B3" s="12" t="s">
        <v>13</v>
      </c>
      <c r="C3" s="11"/>
      <c r="D3" s="121"/>
      <c r="E3" s="121"/>
      <c r="F3" s="121"/>
    </row>
    <row r="4" spans="2:8" ht="15.6" x14ac:dyDescent="0.3">
      <c r="B4" s="11" t="s">
        <v>131</v>
      </c>
      <c r="C4" s="11"/>
      <c r="D4" s="11" t="s">
        <v>132</v>
      </c>
      <c r="E4" s="11" t="s">
        <v>133</v>
      </c>
      <c r="F4" s="11" t="s">
        <v>134</v>
      </c>
    </row>
    <row r="5" spans="2:8" x14ac:dyDescent="0.25">
      <c r="B5" s="1" t="s">
        <v>136</v>
      </c>
      <c r="D5" s="53">
        <v>472800</v>
      </c>
      <c r="E5" s="122">
        <v>2.8400000000000002E-2</v>
      </c>
      <c r="F5" s="123" t="s">
        <v>135</v>
      </c>
    </row>
    <row r="6" spans="2:8" x14ac:dyDescent="0.25">
      <c r="B6" s="1" t="s">
        <v>137</v>
      </c>
      <c r="D6" s="53">
        <v>248125</v>
      </c>
      <c r="E6" s="122">
        <v>3.7339999999999998E-2</v>
      </c>
      <c r="F6" s="123" t="s">
        <v>135</v>
      </c>
    </row>
    <row r="7" spans="2:8" x14ac:dyDescent="0.25">
      <c r="B7" s="1" t="s">
        <v>138</v>
      </c>
      <c r="D7" s="53">
        <v>500000</v>
      </c>
      <c r="E7" s="122">
        <v>5.858E-2</v>
      </c>
      <c r="F7" s="123" t="s">
        <v>135</v>
      </c>
    </row>
    <row r="8" spans="2:8" x14ac:dyDescent="0.25">
      <c r="B8" s="1" t="s">
        <v>269</v>
      </c>
      <c r="D8" s="53">
        <v>472800</v>
      </c>
      <c r="E8" s="122">
        <v>0.06</v>
      </c>
      <c r="F8" s="123" t="s">
        <v>135</v>
      </c>
    </row>
    <row r="9" spans="2:8" x14ac:dyDescent="0.25">
      <c r="B9" s="1" t="s">
        <v>270</v>
      </c>
      <c r="D9" s="53">
        <v>248125</v>
      </c>
      <c r="E9" s="122">
        <v>5.5E-2</v>
      </c>
      <c r="F9" s="123" t="s">
        <v>135</v>
      </c>
    </row>
    <row r="10" spans="2:8" x14ac:dyDescent="0.25">
      <c r="D10" s="53"/>
      <c r="E10" s="122"/>
      <c r="F10" s="123"/>
    </row>
    <row r="11" spans="2:8" ht="15.6" x14ac:dyDescent="0.3">
      <c r="B11" s="11" t="s">
        <v>142</v>
      </c>
      <c r="C11" s="11"/>
      <c r="D11" s="14">
        <v>2026</v>
      </c>
      <c r="E11" s="14">
        <f>D11+1</f>
        <v>2027</v>
      </c>
      <c r="F11" s="14">
        <f t="shared" ref="F11:H11" si="0">E11+1</f>
        <v>2028</v>
      </c>
      <c r="G11" s="14">
        <f t="shared" si="0"/>
        <v>2029</v>
      </c>
      <c r="H11" s="14">
        <f t="shared" si="0"/>
        <v>2030</v>
      </c>
    </row>
    <row r="12" spans="2:8" x14ac:dyDescent="0.25">
      <c r="B12" s="1" t="s">
        <v>136</v>
      </c>
      <c r="D12" s="124">
        <v>472800</v>
      </c>
      <c r="E12" s="124">
        <v>472800</v>
      </c>
      <c r="F12" s="124">
        <v>0</v>
      </c>
      <c r="G12" s="124">
        <v>0</v>
      </c>
      <c r="H12" s="124">
        <v>0</v>
      </c>
    </row>
    <row r="13" spans="2:8" x14ac:dyDescent="0.25">
      <c r="B13" s="1" t="s">
        <v>269</v>
      </c>
      <c r="D13" s="124">
        <v>0</v>
      </c>
      <c r="E13" s="124">
        <v>0</v>
      </c>
      <c r="F13" s="124">
        <v>472800</v>
      </c>
      <c r="G13" s="124">
        <v>472800</v>
      </c>
      <c r="H13" s="124">
        <v>472800</v>
      </c>
    </row>
    <row r="14" spans="2:8" x14ac:dyDescent="0.25">
      <c r="B14" s="1" t="s">
        <v>137</v>
      </c>
      <c r="D14" s="53">
        <v>248125</v>
      </c>
      <c r="E14" s="53">
        <v>248125</v>
      </c>
      <c r="F14" s="53">
        <v>248125</v>
      </c>
      <c r="G14" s="124">
        <v>0</v>
      </c>
      <c r="H14" s="124">
        <v>0</v>
      </c>
    </row>
    <row r="15" spans="2:8" x14ac:dyDescent="0.25">
      <c r="B15" s="1" t="s">
        <v>270</v>
      </c>
      <c r="D15" s="124">
        <v>0</v>
      </c>
      <c r="E15" s="124">
        <v>0</v>
      </c>
      <c r="F15" s="124">
        <v>0</v>
      </c>
      <c r="G15" s="53">
        <v>248125</v>
      </c>
      <c r="H15" s="53">
        <v>248125</v>
      </c>
    </row>
    <row r="16" spans="2:8" x14ac:dyDescent="0.25">
      <c r="B16" s="1" t="s">
        <v>138</v>
      </c>
      <c r="D16" s="124">
        <v>500000</v>
      </c>
      <c r="E16" s="124">
        <v>500000</v>
      </c>
      <c r="F16" s="124">
        <v>500000</v>
      </c>
      <c r="G16" s="124">
        <v>500000</v>
      </c>
      <c r="H16" s="124">
        <v>500000</v>
      </c>
    </row>
    <row r="17" spans="2:8" ht="15.6" x14ac:dyDescent="0.3">
      <c r="B17" s="8" t="s">
        <v>143</v>
      </c>
      <c r="D17" s="128">
        <f>SUM(D12:D16)</f>
        <v>1220925</v>
      </c>
      <c r="E17" s="128">
        <f t="shared" ref="E17:H17" si="1">SUM(E12:E16)</f>
        <v>1220925</v>
      </c>
      <c r="F17" s="128">
        <f t="shared" si="1"/>
        <v>1220925</v>
      </c>
      <c r="G17" s="128">
        <f t="shared" si="1"/>
        <v>1220925</v>
      </c>
      <c r="H17" s="128">
        <f t="shared" si="1"/>
        <v>1220925</v>
      </c>
    </row>
    <row r="19" spans="2:8" ht="15.6" x14ac:dyDescent="0.3">
      <c r="B19" s="11" t="s">
        <v>140</v>
      </c>
      <c r="C19" s="11"/>
      <c r="D19" s="14">
        <v>2026</v>
      </c>
      <c r="E19" s="14">
        <f>D19+1</f>
        <v>2027</v>
      </c>
      <c r="F19" s="14">
        <f t="shared" ref="F19:H19" si="2">E19+1</f>
        <v>2028</v>
      </c>
      <c r="G19" s="14">
        <f t="shared" si="2"/>
        <v>2029</v>
      </c>
      <c r="H19" s="14">
        <f t="shared" si="2"/>
        <v>2030</v>
      </c>
    </row>
    <row r="20" spans="2:8" x14ac:dyDescent="0.25">
      <c r="B20" s="1" t="s">
        <v>136</v>
      </c>
      <c r="D20" s="122">
        <v>2.8400000000000002E-2</v>
      </c>
      <c r="E20" s="122">
        <v>2.8400000000000002E-2</v>
      </c>
      <c r="F20" s="122">
        <v>0</v>
      </c>
      <c r="G20" s="122">
        <v>0</v>
      </c>
      <c r="H20" s="122">
        <v>0</v>
      </c>
    </row>
    <row r="21" spans="2:8" x14ac:dyDescent="0.25">
      <c r="B21" s="1" t="s">
        <v>269</v>
      </c>
      <c r="D21" s="122">
        <v>0</v>
      </c>
      <c r="E21" s="122">
        <v>0</v>
      </c>
      <c r="F21" s="285">
        <f>E8</f>
        <v>0.06</v>
      </c>
      <c r="G21" s="285">
        <f>F21</f>
        <v>0.06</v>
      </c>
      <c r="H21" s="285">
        <f>G21</f>
        <v>0.06</v>
      </c>
    </row>
    <row r="22" spans="2:8" x14ac:dyDescent="0.25">
      <c r="B22" s="1" t="s">
        <v>137</v>
      </c>
      <c r="D22" s="122">
        <v>3.7339999999999998E-2</v>
      </c>
      <c r="E22" s="122">
        <v>3.7339999999999998E-2</v>
      </c>
      <c r="F22" s="122">
        <v>3.7339999999999998E-2</v>
      </c>
      <c r="G22" s="122">
        <v>3.7339999999999998E-2</v>
      </c>
      <c r="H22" s="122">
        <v>0</v>
      </c>
    </row>
    <row r="23" spans="2:8" x14ac:dyDescent="0.25">
      <c r="B23" s="1" t="s">
        <v>270</v>
      </c>
      <c r="D23" s="122">
        <v>0</v>
      </c>
      <c r="E23" s="122">
        <v>0</v>
      </c>
      <c r="F23" s="122">
        <v>0</v>
      </c>
      <c r="G23" s="285">
        <f>E9</f>
        <v>5.5E-2</v>
      </c>
      <c r="H23" s="285">
        <f>G23</f>
        <v>5.5E-2</v>
      </c>
    </row>
    <row r="24" spans="2:8" x14ac:dyDescent="0.25">
      <c r="B24" s="1" t="s">
        <v>138</v>
      </c>
      <c r="D24" s="122">
        <v>5.858E-2</v>
      </c>
      <c r="E24" s="122">
        <v>5.858E-2</v>
      </c>
      <c r="F24" s="122">
        <v>5.858E-2</v>
      </c>
      <c r="G24" s="122">
        <v>5.858E-2</v>
      </c>
      <c r="H24" s="122">
        <v>5.858E-2</v>
      </c>
    </row>
    <row r="26" spans="2:8" ht="15.6" x14ac:dyDescent="0.3">
      <c r="B26" s="11" t="s">
        <v>139</v>
      </c>
      <c r="C26" s="11"/>
      <c r="D26" s="14">
        <v>2026</v>
      </c>
      <c r="E26" s="14">
        <f>D26+1</f>
        <v>2027</v>
      </c>
      <c r="F26" s="14">
        <f t="shared" ref="F26:H26" si="3">E26+1</f>
        <v>2028</v>
      </c>
      <c r="G26" s="14">
        <f t="shared" si="3"/>
        <v>2029</v>
      </c>
      <c r="H26" s="14">
        <f t="shared" si="3"/>
        <v>2030</v>
      </c>
    </row>
    <row r="27" spans="2:8" x14ac:dyDescent="0.25">
      <c r="B27" s="1" t="s">
        <v>136</v>
      </c>
      <c r="D27" s="30">
        <f>D20*D12</f>
        <v>13427.52</v>
      </c>
      <c r="E27" s="30">
        <f t="shared" ref="E27:H27" si="4">E20*E12</f>
        <v>13427.52</v>
      </c>
      <c r="F27" s="30">
        <f t="shared" si="4"/>
        <v>0</v>
      </c>
      <c r="G27" s="30">
        <f t="shared" si="4"/>
        <v>0</v>
      </c>
      <c r="H27" s="30">
        <f t="shared" si="4"/>
        <v>0</v>
      </c>
    </row>
    <row r="28" spans="2:8" x14ac:dyDescent="0.25">
      <c r="B28" s="1" t="s">
        <v>269</v>
      </c>
      <c r="D28" s="30">
        <f>D13*D21</f>
        <v>0</v>
      </c>
      <c r="E28" s="30">
        <f t="shared" ref="E28:H28" si="5">E13*E21</f>
        <v>0</v>
      </c>
      <c r="F28" s="30">
        <f t="shared" si="5"/>
        <v>28368</v>
      </c>
      <c r="G28" s="30">
        <f t="shared" si="5"/>
        <v>28368</v>
      </c>
      <c r="H28" s="30">
        <f t="shared" si="5"/>
        <v>28368</v>
      </c>
    </row>
    <row r="29" spans="2:8" x14ac:dyDescent="0.25">
      <c r="B29" s="1" t="s">
        <v>137</v>
      </c>
      <c r="D29" s="30">
        <f>D22*D14</f>
        <v>9264.9874999999993</v>
      </c>
      <c r="E29" s="30">
        <f t="shared" ref="E29:H29" si="6">E22*E14</f>
        <v>9264.9874999999993</v>
      </c>
      <c r="F29" s="30">
        <f t="shared" si="6"/>
        <v>9264.9874999999993</v>
      </c>
      <c r="G29" s="30">
        <f>(3/12)*F14*G22</f>
        <v>2316.2468749999998</v>
      </c>
      <c r="H29" s="30">
        <f t="shared" si="6"/>
        <v>0</v>
      </c>
    </row>
    <row r="30" spans="2:8" x14ac:dyDescent="0.25">
      <c r="B30" s="1" t="s">
        <v>270</v>
      </c>
      <c r="D30" s="30">
        <f>D23*D15</f>
        <v>0</v>
      </c>
      <c r="E30" s="30">
        <f t="shared" ref="E30:H30" si="7">E23*E15</f>
        <v>0</v>
      </c>
      <c r="F30" s="30">
        <f t="shared" si="7"/>
        <v>0</v>
      </c>
      <c r="G30" s="30">
        <f>G23*G15*(9/12)</f>
        <v>10235.15625</v>
      </c>
      <c r="H30" s="30">
        <f t="shared" si="7"/>
        <v>13646.875</v>
      </c>
    </row>
    <row r="31" spans="2:8" ht="15.6" thickBot="1" x14ac:dyDescent="0.3">
      <c r="B31" s="17" t="s">
        <v>138</v>
      </c>
      <c r="C31" s="17"/>
      <c r="D31" s="27">
        <f>D24*D16</f>
        <v>29290</v>
      </c>
      <c r="E31" s="27">
        <f t="shared" ref="E31:H31" si="8">E24*E16</f>
        <v>29290</v>
      </c>
      <c r="F31" s="27">
        <f t="shared" si="8"/>
        <v>29290</v>
      </c>
      <c r="G31" s="27">
        <f t="shared" si="8"/>
        <v>29290</v>
      </c>
      <c r="H31" s="27">
        <f t="shared" si="8"/>
        <v>29290</v>
      </c>
    </row>
    <row r="32" spans="2:8" ht="15.6" x14ac:dyDescent="0.3">
      <c r="B32" s="8" t="s">
        <v>141</v>
      </c>
      <c r="D32" s="46">
        <f>SUM(D27:D31)</f>
        <v>51982.5075</v>
      </c>
      <c r="E32" s="46">
        <f t="shared" ref="E32:H32" si="9">SUM(E27:E31)</f>
        <v>51982.5075</v>
      </c>
      <c r="F32" s="46">
        <f t="shared" si="9"/>
        <v>66922.987500000003</v>
      </c>
      <c r="G32" s="46">
        <f t="shared" si="9"/>
        <v>70209.403124999997</v>
      </c>
      <c r="H32" s="46">
        <f t="shared" si="9"/>
        <v>71304.875</v>
      </c>
    </row>
    <row r="34" spans="2:8" x14ac:dyDescent="0.25">
      <c r="B34" s="1" t="s">
        <v>273</v>
      </c>
      <c r="D34" s="53">
        <v>8000</v>
      </c>
      <c r="E34" s="138">
        <f>D34</f>
        <v>8000</v>
      </c>
      <c r="F34" s="138">
        <f t="shared" ref="F34:H34" si="10">E34</f>
        <v>8000</v>
      </c>
      <c r="G34" s="138">
        <f t="shared" si="10"/>
        <v>8000</v>
      </c>
      <c r="H34" s="138">
        <f t="shared" si="10"/>
        <v>8000</v>
      </c>
    </row>
    <row r="35" spans="2:8" ht="15.6" x14ac:dyDescent="0.3">
      <c r="B35" s="8" t="s">
        <v>272</v>
      </c>
      <c r="D35" s="46">
        <f>D32-D34</f>
        <v>43982.5075</v>
      </c>
      <c r="E35" s="46">
        <f t="shared" ref="E35:H35" si="11">E32-E34</f>
        <v>43982.5075</v>
      </c>
      <c r="F35" s="46">
        <f t="shared" si="11"/>
        <v>58922.987500000003</v>
      </c>
      <c r="G35" s="46">
        <f t="shared" si="11"/>
        <v>62209.403124999997</v>
      </c>
      <c r="H35" s="46">
        <f t="shared" si="11"/>
        <v>63304.875</v>
      </c>
    </row>
  </sheetData>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C3AE-4AAA-40D3-A42B-84C22ECB8575}">
  <dimension ref="B2:P15"/>
  <sheetViews>
    <sheetView showGridLines="0" workbookViewId="0">
      <pane xSplit="1" ySplit="2" topLeftCell="B3" activePane="bottomRight" state="frozen"/>
      <selection pane="topRight" activeCell="B1" sqref="B1"/>
      <selection pane="bottomLeft" activeCell="A3" sqref="A3"/>
      <selection pane="bottomRight" activeCell="J22" sqref="J22"/>
    </sheetView>
  </sheetViews>
  <sheetFormatPr defaultRowHeight="15" x14ac:dyDescent="0.25"/>
  <cols>
    <col min="1" max="1" width="3.77734375" style="63" customWidth="1"/>
    <col min="2" max="2" width="22" style="63" bestFit="1" customWidth="1"/>
    <col min="3" max="13" width="8.88671875" style="63"/>
    <col min="14" max="14" width="2.77734375" style="63" customWidth="1"/>
    <col min="15" max="16384" width="8.88671875" style="63"/>
  </cols>
  <sheetData>
    <row r="2" spans="2:16" ht="15.6" x14ac:dyDescent="0.3">
      <c r="B2" s="11" t="s">
        <v>288</v>
      </c>
      <c r="C2" s="11"/>
      <c r="D2" s="302">
        <v>2021</v>
      </c>
      <c r="E2" s="302">
        <v>2022</v>
      </c>
      <c r="F2" s="302">
        <v>2023</v>
      </c>
      <c r="G2" s="302">
        <v>2024</v>
      </c>
      <c r="H2" s="303">
        <v>2025</v>
      </c>
      <c r="I2" s="304">
        <v>2026</v>
      </c>
      <c r="J2" s="304">
        <v>2027</v>
      </c>
      <c r="K2" s="304">
        <v>2028</v>
      </c>
      <c r="L2" s="304">
        <v>2029</v>
      </c>
      <c r="M2" s="304">
        <v>2030</v>
      </c>
    </row>
    <row r="3" spans="2:16" ht="16.2" thickBot="1" x14ac:dyDescent="0.35">
      <c r="B3" s="305" t="s">
        <v>289</v>
      </c>
      <c r="C3" s="82"/>
      <c r="D3" s="306">
        <f>D5</f>
        <v>0.20324103900149379</v>
      </c>
      <c r="E3" s="306">
        <f t="shared" ref="E3:M3" si="0">E5</f>
        <v>0.17731825543114949</v>
      </c>
      <c r="F3" s="306">
        <f t="shared" si="0"/>
        <v>0.15355990044668572</v>
      </c>
      <c r="G3" s="306">
        <f t="shared" si="0"/>
        <v>0.14642213973317653</v>
      </c>
      <c r="H3" s="250">
        <f t="shared" si="0"/>
        <v>0.1378454279453486</v>
      </c>
      <c r="I3" s="311">
        <f t="shared" si="0"/>
        <v>0.13</v>
      </c>
      <c r="J3" s="311">
        <f t="shared" si="0"/>
        <v>0.127</v>
      </c>
      <c r="K3" s="311">
        <f t="shared" si="0"/>
        <v>0.124</v>
      </c>
      <c r="L3" s="311">
        <f t="shared" si="0"/>
        <v>0.121</v>
      </c>
      <c r="M3" s="311">
        <f t="shared" si="0"/>
        <v>0.121</v>
      </c>
    </row>
    <row r="4" spans="2:16" x14ac:dyDescent="0.25">
      <c r="H4" s="79"/>
    </row>
    <row r="5" spans="2:16" x14ac:dyDescent="0.25">
      <c r="B5" s="227" t="s">
        <v>39</v>
      </c>
      <c r="C5" s="227"/>
      <c r="D5" s="308">
        <f>D7</f>
        <v>0.20324103900149379</v>
      </c>
      <c r="E5" s="308">
        <f t="shared" ref="E5:H5" si="1">E7</f>
        <v>0.17731825543114949</v>
      </c>
      <c r="F5" s="308">
        <f t="shared" si="1"/>
        <v>0.15355990044668572</v>
      </c>
      <c r="G5" s="308">
        <f t="shared" si="1"/>
        <v>0.14642213973317653</v>
      </c>
      <c r="H5" s="309">
        <f t="shared" si="1"/>
        <v>0.1378454279453486</v>
      </c>
      <c r="I5" s="308">
        <f>INDEX(I6:I8,MATCH(Cover!$C$23,'Financial Projections'!$B$13:$B$15,0))</f>
        <v>0.13</v>
      </c>
      <c r="J5" s="308">
        <f>INDEX(J6:J8,MATCH(Cover!$C$23,'Financial Projections'!$B$13:$B$15,0))</f>
        <v>0.127</v>
      </c>
      <c r="K5" s="308">
        <f>INDEX(K6:K8,MATCH(Cover!$C$23,'Financial Projections'!$B$13:$B$15,0))</f>
        <v>0.124</v>
      </c>
      <c r="L5" s="308">
        <f>INDEX(L6:L8,MATCH(Cover!$C$23,'Financial Projections'!$B$13:$B$15,0))</f>
        <v>0.121</v>
      </c>
      <c r="M5" s="308">
        <f>INDEX(M6:M8,MATCH(Cover!$C$23,'Financial Projections'!$B$13:$B$15,0))</f>
        <v>0.121</v>
      </c>
    </row>
    <row r="6" spans="2:16" ht="15.6" x14ac:dyDescent="0.3">
      <c r="B6" s="310" t="s">
        <v>22</v>
      </c>
      <c r="D6" s="94"/>
      <c r="E6" s="94"/>
      <c r="F6" s="94"/>
      <c r="G6" s="94"/>
      <c r="H6" s="97"/>
      <c r="I6" s="314">
        <f>I7+$P$7</f>
        <v>0.13200000000000001</v>
      </c>
      <c r="J6" s="314">
        <f t="shared" ref="J6:M6" si="2">J7+$P$7</f>
        <v>0.129</v>
      </c>
      <c r="K6" s="314">
        <f t="shared" si="2"/>
        <v>0.126</v>
      </c>
      <c r="L6" s="314">
        <f t="shared" si="2"/>
        <v>0.123</v>
      </c>
      <c r="M6" s="314">
        <f t="shared" si="2"/>
        <v>0.123</v>
      </c>
    </row>
    <row r="7" spans="2:16" ht="15.6" x14ac:dyDescent="0.3">
      <c r="B7" s="310" t="s">
        <v>23</v>
      </c>
      <c r="D7" s="58">
        <f>'Income Statement'!D5/'Income Statement'!D4</f>
        <v>0.20324103900149379</v>
      </c>
      <c r="E7" s="58">
        <f>'Income Statement'!E5/'Income Statement'!E4</f>
        <v>0.17731825543114949</v>
      </c>
      <c r="F7" s="58">
        <f>'Income Statement'!F5/'Income Statement'!F4</f>
        <v>0.15355990044668572</v>
      </c>
      <c r="G7" s="58">
        <f>'Income Statement'!G5/'Income Statement'!G4</f>
        <v>0.14642213973317653</v>
      </c>
      <c r="H7" s="60">
        <f>'Income Statement'!H5/'Income Statement'!H4</f>
        <v>0.1378454279453486</v>
      </c>
      <c r="I7" s="126">
        <v>0.13</v>
      </c>
      <c r="J7" s="126">
        <v>0.127</v>
      </c>
      <c r="K7" s="126">
        <v>0.124</v>
      </c>
      <c r="L7" s="126">
        <v>0.121</v>
      </c>
      <c r="M7" s="126">
        <v>0.121</v>
      </c>
      <c r="O7" s="312" t="s">
        <v>25</v>
      </c>
      <c r="P7" s="313">
        <v>2E-3</v>
      </c>
    </row>
    <row r="8" spans="2:16" ht="15.6" x14ac:dyDescent="0.3">
      <c r="B8" s="310" t="s">
        <v>24</v>
      </c>
      <c r="D8" s="94"/>
      <c r="E8" s="94"/>
      <c r="F8" s="94"/>
      <c r="G8" s="94"/>
      <c r="H8" s="97"/>
      <c r="I8" s="314">
        <f>I7-$P$7</f>
        <v>0.128</v>
      </c>
      <c r="J8" s="314">
        <f t="shared" ref="J8:M8" si="3">J7-$P$7</f>
        <v>0.125</v>
      </c>
      <c r="K8" s="314">
        <f t="shared" si="3"/>
        <v>0.122</v>
      </c>
      <c r="L8" s="314">
        <f t="shared" si="3"/>
        <v>0.11899999999999999</v>
      </c>
      <c r="M8" s="314">
        <f t="shared" si="3"/>
        <v>0.11899999999999999</v>
      </c>
    </row>
    <row r="9" spans="2:16" x14ac:dyDescent="0.25">
      <c r="D9" s="94"/>
      <c r="E9" s="94"/>
      <c r="F9" s="94"/>
      <c r="G9" s="94"/>
      <c r="H9" s="97"/>
    </row>
    <row r="10" spans="2:16" ht="16.2" thickBot="1" x14ac:dyDescent="0.35">
      <c r="B10" s="305" t="s">
        <v>290</v>
      </c>
      <c r="C10" s="82"/>
      <c r="D10" s="306">
        <f>D12</f>
        <v>0.22263559196041091</v>
      </c>
      <c r="E10" s="306">
        <f t="shared" ref="E10:M10" si="4">E12</f>
        <v>0.18757219855616872</v>
      </c>
      <c r="F10" s="306">
        <f t="shared" si="4"/>
        <v>0.2106226429448653</v>
      </c>
      <c r="G10" s="306">
        <f t="shared" si="4"/>
        <v>0.18664060964482659</v>
      </c>
      <c r="H10" s="307">
        <f t="shared" si="4"/>
        <v>0.18419379697009269</v>
      </c>
      <c r="I10" s="306">
        <f t="shared" si="4"/>
        <v>0.182</v>
      </c>
      <c r="J10" s="306">
        <f t="shared" si="4"/>
        <v>0.18</v>
      </c>
      <c r="K10" s="306">
        <f t="shared" si="4"/>
        <v>0.17799999999999999</v>
      </c>
      <c r="L10" s="306">
        <f t="shared" si="4"/>
        <v>0.17599999999999999</v>
      </c>
      <c r="M10" s="306">
        <f t="shared" si="4"/>
        <v>0.17599999999999999</v>
      </c>
    </row>
    <row r="11" spans="2:16" x14ac:dyDescent="0.25">
      <c r="E11" s="94"/>
      <c r="F11" s="94"/>
      <c r="G11" s="94"/>
      <c r="H11" s="97"/>
    </row>
    <row r="12" spans="2:16" x14ac:dyDescent="0.25">
      <c r="B12" s="227" t="s">
        <v>39</v>
      </c>
      <c r="C12" s="227"/>
      <c r="D12" s="308">
        <f>D14</f>
        <v>0.22263559196041091</v>
      </c>
      <c r="E12" s="308">
        <f t="shared" ref="E12:H12" si="5">E14</f>
        <v>0.18757219855616872</v>
      </c>
      <c r="F12" s="308">
        <f t="shared" si="5"/>
        <v>0.2106226429448653</v>
      </c>
      <c r="G12" s="308">
        <f t="shared" si="5"/>
        <v>0.18664060964482659</v>
      </c>
      <c r="H12" s="309">
        <f t="shared" si="5"/>
        <v>0.18419379697009269</v>
      </c>
      <c r="I12" s="308">
        <f>INDEX(I13:I15,MATCH(Cover!$C$23,'Financial Projections'!$B$13:$B$15,0))</f>
        <v>0.182</v>
      </c>
      <c r="J12" s="308">
        <f>INDEX(J13:J15,MATCH(Cover!$C$23,'Financial Projections'!$B$13:$B$15,0))</f>
        <v>0.18</v>
      </c>
      <c r="K12" s="308">
        <f>INDEX(K13:K15,MATCH(Cover!$C$23,'Financial Projections'!$B$13:$B$15,0))</f>
        <v>0.17799999999999999</v>
      </c>
      <c r="L12" s="308">
        <f>INDEX(L13:L15,MATCH(Cover!$C$23,'Financial Projections'!$B$13:$B$15,0))</f>
        <v>0.17599999999999999</v>
      </c>
      <c r="M12" s="308">
        <f>INDEX(M13:M15,MATCH(Cover!$C$23,'Financial Projections'!$B$13:$B$15,0))</f>
        <v>0.17599999999999999</v>
      </c>
    </row>
    <row r="13" spans="2:16" ht="15.6" x14ac:dyDescent="0.3">
      <c r="B13" s="310" t="s">
        <v>22</v>
      </c>
      <c r="D13" s="94"/>
      <c r="E13" s="94"/>
      <c r="F13" s="94"/>
      <c r="G13" s="94"/>
      <c r="H13" s="97"/>
      <c r="I13" s="314">
        <f>I14+$P$14</f>
        <v>0.184</v>
      </c>
      <c r="J13" s="314">
        <f t="shared" ref="J13:M13" si="6">J14+$P$14</f>
        <v>0.182</v>
      </c>
      <c r="K13" s="314">
        <f t="shared" si="6"/>
        <v>0.18</v>
      </c>
      <c r="L13" s="314">
        <f t="shared" si="6"/>
        <v>0.17799999999999999</v>
      </c>
      <c r="M13" s="314">
        <f t="shared" si="6"/>
        <v>0.17799999999999999</v>
      </c>
    </row>
    <row r="14" spans="2:16" ht="15.6" x14ac:dyDescent="0.3">
      <c r="B14" s="310" t="s">
        <v>23</v>
      </c>
      <c r="D14" s="58">
        <f>'Income Statement'!D10/'Income Statement'!D4</f>
        <v>0.22263559196041091</v>
      </c>
      <c r="E14" s="58">
        <f>'Income Statement'!E10/'Income Statement'!E4</f>
        <v>0.18757219855616872</v>
      </c>
      <c r="F14" s="58">
        <f>'Income Statement'!F10/'Income Statement'!F4</f>
        <v>0.2106226429448653</v>
      </c>
      <c r="G14" s="58">
        <f>'Income Statement'!G10/'Income Statement'!G4</f>
        <v>0.18664060964482659</v>
      </c>
      <c r="H14" s="60">
        <f>'Income Statement'!H10/'Income Statement'!H4</f>
        <v>0.18419379697009269</v>
      </c>
      <c r="I14" s="126">
        <v>0.182</v>
      </c>
      <c r="J14" s="126">
        <v>0.18</v>
      </c>
      <c r="K14" s="126">
        <v>0.17799999999999999</v>
      </c>
      <c r="L14" s="126">
        <v>0.17599999999999999</v>
      </c>
      <c r="M14" s="126">
        <v>0.17599999999999999</v>
      </c>
      <c r="O14" s="312" t="s">
        <v>25</v>
      </c>
      <c r="P14" s="313">
        <v>2E-3</v>
      </c>
    </row>
    <row r="15" spans="2:16" ht="15.6" x14ac:dyDescent="0.3">
      <c r="B15" s="310" t="s">
        <v>24</v>
      </c>
      <c r="H15" s="79"/>
      <c r="I15" s="314">
        <f>I14-$P$14</f>
        <v>0.18</v>
      </c>
      <c r="J15" s="314">
        <f t="shared" ref="J15:M15" si="7">J14-$P$14</f>
        <v>0.17799999999999999</v>
      </c>
      <c r="K15" s="314">
        <f t="shared" si="7"/>
        <v>0.17599999999999999</v>
      </c>
      <c r="L15" s="314">
        <f t="shared" si="7"/>
        <v>0.17399999999999999</v>
      </c>
      <c r="M15" s="314">
        <f t="shared" si="7"/>
        <v>0.17399999999999999</v>
      </c>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4E83D-6F24-4867-88D2-D2A60936F671}">
  <dimension ref="B2:L1261"/>
  <sheetViews>
    <sheetView showGridLines="0" zoomScale="85" workbookViewId="0">
      <selection activeCell="D4" sqref="D4"/>
    </sheetView>
  </sheetViews>
  <sheetFormatPr defaultRowHeight="15" x14ac:dyDescent="0.25"/>
  <cols>
    <col min="1" max="1" width="3.77734375" style="63" customWidth="1"/>
    <col min="2" max="4" width="10.77734375" style="63" customWidth="1"/>
    <col min="5" max="5" width="8.88671875" style="63"/>
    <col min="6" max="7" width="9.33203125" style="63" bestFit="1" customWidth="1"/>
    <col min="8" max="9" width="8.88671875" style="63"/>
    <col min="10" max="10" width="9.77734375" style="63" bestFit="1" customWidth="1"/>
    <col min="11" max="11" width="9.44140625" style="63" bestFit="1" customWidth="1"/>
    <col min="12" max="16384" width="8.88671875" style="63"/>
  </cols>
  <sheetData>
    <row r="2" spans="2:12" ht="15.6" x14ac:dyDescent="0.3">
      <c r="B2" s="339" t="s">
        <v>261</v>
      </c>
      <c r="C2" s="339"/>
      <c r="D2" s="339"/>
    </row>
    <row r="3" spans="2:12" x14ac:dyDescent="0.25">
      <c r="B3" s="251" t="s">
        <v>275</v>
      </c>
      <c r="C3" s="231"/>
      <c r="D3" s="290">
        <f>_xlfn.COVARIANCE.S($D$9:$D$1177,$K$9:$K$1177)/_xlfn.VAR.S($D$9:$D$1177)</f>
        <v>1.2735484005754782</v>
      </c>
    </row>
    <row r="4" spans="2:12" x14ac:dyDescent="0.25">
      <c r="B4" s="253" t="s">
        <v>280</v>
      </c>
      <c r="C4" s="227"/>
      <c r="D4" s="291">
        <f>_xlfn.COVARIANCE.S($G$9:$G$1177,$K$9:$K$1177)/_xlfn.VAR.S($G$9:$G$1177)</f>
        <v>0.90036754098071281</v>
      </c>
    </row>
    <row r="6" spans="2:12" ht="15.6" x14ac:dyDescent="0.3">
      <c r="B6" s="260" t="s">
        <v>262</v>
      </c>
      <c r="C6" s="260"/>
      <c r="D6" s="260"/>
      <c r="E6" s="260"/>
      <c r="F6" s="261" t="s">
        <v>263</v>
      </c>
      <c r="G6" s="261"/>
      <c r="H6" s="262"/>
      <c r="I6" s="219"/>
      <c r="J6" s="335" t="s">
        <v>264</v>
      </c>
      <c r="K6" s="335"/>
      <c r="L6" s="219"/>
    </row>
    <row r="7" spans="2:12" x14ac:dyDescent="0.25">
      <c r="B7" s="263">
        <v>44419</v>
      </c>
      <c r="C7" s="162">
        <v>4447.7</v>
      </c>
      <c r="F7" s="161">
        <v>1447.53</v>
      </c>
    </row>
    <row r="8" spans="2:12" x14ac:dyDescent="0.25">
      <c r="B8" s="263">
        <v>44420</v>
      </c>
      <c r="C8" s="162">
        <v>4460.83</v>
      </c>
      <c r="D8" s="94">
        <f>C8/C7-1</f>
        <v>2.9520875958359838E-3</v>
      </c>
      <c r="F8" s="161">
        <v>1448.94</v>
      </c>
      <c r="G8" s="94">
        <f>F8/F7-1</f>
        <v>9.7407307620578365E-4</v>
      </c>
      <c r="J8" s="264">
        <v>168.77</v>
      </c>
    </row>
    <row r="9" spans="2:12" x14ac:dyDescent="0.25">
      <c r="B9" s="263">
        <v>44421</v>
      </c>
      <c r="C9" s="162">
        <v>4468</v>
      </c>
      <c r="D9" s="94">
        <f t="shared" ref="D9:D72" si="0">C9/C8-1</f>
        <v>1.6073241975147479E-3</v>
      </c>
      <c r="F9" s="161">
        <v>1444.7</v>
      </c>
      <c r="G9" s="94">
        <f t="shared" ref="G9:G72" si="1">F9/F8-1</f>
        <v>-2.9262771405302868E-3</v>
      </c>
      <c r="J9" s="264">
        <v>170.04</v>
      </c>
      <c r="K9" s="94">
        <f>J9/J8-1</f>
        <v>7.5250340700361296E-3</v>
      </c>
    </row>
    <row r="10" spans="2:12" x14ac:dyDescent="0.25">
      <c r="B10" s="263">
        <v>44424</v>
      </c>
      <c r="C10" s="162">
        <v>4479.71</v>
      </c>
      <c r="D10" s="94">
        <f t="shared" si="0"/>
        <v>2.6208594449417255E-3</v>
      </c>
      <c r="F10" s="161">
        <v>1439.24</v>
      </c>
      <c r="G10" s="94">
        <f t="shared" si="1"/>
        <v>-3.7793313490690483E-3</v>
      </c>
      <c r="J10" s="264">
        <v>169.27</v>
      </c>
      <c r="K10" s="94">
        <f t="shared" ref="K10:K73" si="2">J10/J9-1</f>
        <v>-4.5283462714654776E-3</v>
      </c>
    </row>
    <row r="11" spans="2:12" x14ac:dyDescent="0.25">
      <c r="B11" s="263">
        <v>44425</v>
      </c>
      <c r="C11" s="162">
        <v>4448.08</v>
      </c>
      <c r="D11" s="94">
        <f t="shared" si="0"/>
        <v>-7.0607249129965854E-3</v>
      </c>
      <c r="F11" s="161">
        <v>1406.03</v>
      </c>
      <c r="G11" s="94">
        <f t="shared" si="1"/>
        <v>-2.3074678302437368E-2</v>
      </c>
      <c r="J11" s="264">
        <v>167.55</v>
      </c>
      <c r="K11" s="94">
        <f t="shared" si="2"/>
        <v>-1.0161280793997696E-2</v>
      </c>
    </row>
    <row r="12" spans="2:12" x14ac:dyDescent="0.25">
      <c r="B12" s="263">
        <v>44426</v>
      </c>
      <c r="C12" s="162">
        <v>4400.2700000000004</v>
      </c>
      <c r="D12" s="94">
        <f t="shared" si="0"/>
        <v>-1.0748457761550978E-2</v>
      </c>
      <c r="F12" s="161">
        <v>1408.08</v>
      </c>
      <c r="G12" s="94">
        <f t="shared" si="1"/>
        <v>1.4580058746969105E-3</v>
      </c>
      <c r="J12" s="264">
        <v>166.02</v>
      </c>
      <c r="K12" s="94">
        <f t="shared" si="2"/>
        <v>-9.1316025067144091E-3</v>
      </c>
    </row>
    <row r="13" spans="2:12" x14ac:dyDescent="0.25">
      <c r="B13" s="263">
        <v>44427</v>
      </c>
      <c r="C13" s="162">
        <v>4405.8</v>
      </c>
      <c r="D13" s="94">
        <f t="shared" si="0"/>
        <v>1.2567410636163956E-3</v>
      </c>
      <c r="F13" s="161">
        <v>1399.31</v>
      </c>
      <c r="G13" s="94">
        <f t="shared" si="1"/>
        <v>-6.2283392989034292E-3</v>
      </c>
      <c r="J13" s="264">
        <v>163.69</v>
      </c>
      <c r="K13" s="94">
        <f t="shared" si="2"/>
        <v>-1.4034453680279557E-2</v>
      </c>
    </row>
    <row r="14" spans="2:12" x14ac:dyDescent="0.25">
      <c r="B14" s="263">
        <v>44428</v>
      </c>
      <c r="C14" s="162">
        <v>4441.67</v>
      </c>
      <c r="D14" s="94">
        <f t="shared" si="0"/>
        <v>8.1415406963547543E-3</v>
      </c>
      <c r="F14" s="161">
        <v>1412.34</v>
      </c>
      <c r="G14" s="94">
        <f t="shared" si="1"/>
        <v>9.3117322108753342E-3</v>
      </c>
      <c r="J14" s="264">
        <v>166.18</v>
      </c>
      <c r="K14" s="94">
        <f t="shared" si="2"/>
        <v>1.5211680615798251E-2</v>
      </c>
    </row>
    <row r="15" spans="2:12" x14ac:dyDescent="0.25">
      <c r="B15" s="263">
        <v>44431</v>
      </c>
      <c r="C15" s="162">
        <v>4479.53</v>
      </c>
      <c r="D15" s="94">
        <f t="shared" si="0"/>
        <v>8.5238209952562816E-3</v>
      </c>
      <c r="F15" s="161">
        <v>1431.48</v>
      </c>
      <c r="G15" s="94">
        <f t="shared" si="1"/>
        <v>1.3551977569140616E-2</v>
      </c>
      <c r="J15" s="264">
        <v>166.54</v>
      </c>
      <c r="K15" s="94">
        <f t="shared" si="2"/>
        <v>2.1663256709592016E-3</v>
      </c>
    </row>
    <row r="16" spans="2:12" x14ac:dyDescent="0.25">
      <c r="B16" s="263">
        <v>44432</v>
      </c>
      <c r="C16" s="162">
        <v>4486.2299999999996</v>
      </c>
      <c r="D16" s="94">
        <f t="shared" si="0"/>
        <v>1.4956926284677152E-3</v>
      </c>
      <c r="F16" s="161">
        <v>1442.39</v>
      </c>
      <c r="G16" s="94">
        <f t="shared" si="1"/>
        <v>7.6214826613016928E-3</v>
      </c>
      <c r="J16" s="264">
        <v>168.88</v>
      </c>
      <c r="K16" s="94">
        <f t="shared" si="2"/>
        <v>1.4050678515671988E-2</v>
      </c>
    </row>
    <row r="17" spans="2:11" x14ac:dyDescent="0.25">
      <c r="B17" s="263">
        <v>44433</v>
      </c>
      <c r="C17" s="162">
        <v>4496.1899999999996</v>
      </c>
      <c r="D17" s="94">
        <f t="shared" si="0"/>
        <v>2.2201269217136943E-3</v>
      </c>
      <c r="F17" s="161">
        <v>1446.91</v>
      </c>
      <c r="G17" s="94">
        <f t="shared" si="1"/>
        <v>3.1336878375474164E-3</v>
      </c>
      <c r="J17" s="264">
        <v>168.67</v>
      </c>
      <c r="K17" s="94">
        <f t="shared" si="2"/>
        <v>-1.2434864992895145E-3</v>
      </c>
    </row>
    <row r="18" spans="2:11" x14ac:dyDescent="0.25">
      <c r="B18" s="263">
        <v>44434</v>
      </c>
      <c r="C18" s="162">
        <v>4470</v>
      </c>
      <c r="D18" s="94">
        <f t="shared" si="0"/>
        <v>-5.8249317755698637E-3</v>
      </c>
      <c r="F18" s="161">
        <v>1436.34</v>
      </c>
      <c r="G18" s="94">
        <f t="shared" si="1"/>
        <v>-7.3052228542205278E-3</v>
      </c>
      <c r="J18" s="264">
        <v>168.43</v>
      </c>
      <c r="K18" s="94">
        <f t="shared" si="2"/>
        <v>-1.4228967806959592E-3</v>
      </c>
    </row>
    <row r="19" spans="2:11" x14ac:dyDescent="0.25">
      <c r="B19" s="263">
        <v>44435</v>
      </c>
      <c r="C19" s="162">
        <v>4509.37</v>
      </c>
      <c r="D19" s="94">
        <f t="shared" si="0"/>
        <v>8.8076062639821373E-3</v>
      </c>
      <c r="F19" s="161">
        <v>1449.28</v>
      </c>
      <c r="G19" s="94">
        <f t="shared" si="1"/>
        <v>9.009009009009139E-3</v>
      </c>
      <c r="J19" s="264">
        <v>171.86</v>
      </c>
      <c r="K19" s="94">
        <f t="shared" si="2"/>
        <v>2.0364543133646107E-2</v>
      </c>
    </row>
    <row r="20" spans="2:11" x14ac:dyDescent="0.25">
      <c r="B20" s="263">
        <v>44438</v>
      </c>
      <c r="C20" s="162">
        <v>4528.79</v>
      </c>
      <c r="D20" s="94">
        <f t="shared" si="0"/>
        <v>4.30658828173347E-3</v>
      </c>
      <c r="F20" s="161">
        <v>1462.61</v>
      </c>
      <c r="G20" s="94">
        <f t="shared" si="1"/>
        <v>9.1976705674541304E-3</v>
      </c>
      <c r="J20" s="264">
        <v>170.06</v>
      </c>
      <c r="K20" s="94">
        <f t="shared" si="2"/>
        <v>-1.0473641335971173E-2</v>
      </c>
    </row>
    <row r="21" spans="2:11" x14ac:dyDescent="0.25">
      <c r="B21" s="263">
        <v>44439</v>
      </c>
      <c r="C21" s="162">
        <v>4522.68</v>
      </c>
      <c r="D21" s="94">
        <f t="shared" si="0"/>
        <v>-1.349146239944865E-3</v>
      </c>
      <c r="F21" s="161">
        <v>1468.09</v>
      </c>
      <c r="G21" s="94">
        <f t="shared" si="1"/>
        <v>3.7467267419202255E-3</v>
      </c>
      <c r="J21" s="264">
        <v>171.93</v>
      </c>
      <c r="K21" s="94">
        <f t="shared" si="2"/>
        <v>1.0996119016817518E-2</v>
      </c>
    </row>
    <row r="22" spans="2:11" x14ac:dyDescent="0.25">
      <c r="B22" s="263">
        <v>44440</v>
      </c>
      <c r="C22" s="162">
        <v>4524.09</v>
      </c>
      <c r="D22" s="94">
        <f t="shared" si="0"/>
        <v>3.117620525883158E-4</v>
      </c>
      <c r="F22" s="161">
        <v>1467.67</v>
      </c>
      <c r="G22" s="94">
        <f t="shared" si="1"/>
        <v>-2.8608600290158659E-4</v>
      </c>
      <c r="J22" s="264">
        <v>174.42</v>
      </c>
      <c r="K22" s="94">
        <f t="shared" si="2"/>
        <v>1.4482638283022098E-2</v>
      </c>
    </row>
    <row r="23" spans="2:11" x14ac:dyDescent="0.25">
      <c r="B23" s="263">
        <v>44441</v>
      </c>
      <c r="C23" s="162">
        <v>4536.95</v>
      </c>
      <c r="D23" s="94">
        <f t="shared" si="0"/>
        <v>2.8425606033477546E-3</v>
      </c>
      <c r="F23" s="161">
        <v>1466.6</v>
      </c>
      <c r="G23" s="94">
        <f t="shared" si="1"/>
        <v>-7.2904672031193218E-4</v>
      </c>
      <c r="J23" s="264">
        <v>176.48</v>
      </c>
      <c r="K23" s="94">
        <f t="shared" si="2"/>
        <v>1.1810572182089141E-2</v>
      </c>
    </row>
    <row r="24" spans="2:11" x14ac:dyDescent="0.25">
      <c r="B24" s="263">
        <v>44442</v>
      </c>
      <c r="C24" s="162">
        <v>4535.43</v>
      </c>
      <c r="D24" s="94">
        <f t="shared" si="0"/>
        <v>-3.3502683520858501E-4</v>
      </c>
      <c r="F24" s="161">
        <v>1466.71</v>
      </c>
      <c r="G24" s="94">
        <f t="shared" si="1"/>
        <v>7.5003409246043873E-5</v>
      </c>
      <c r="J24" s="264">
        <v>175.96</v>
      </c>
      <c r="K24" s="94">
        <f t="shared" si="2"/>
        <v>-2.9465095194921576E-3</v>
      </c>
    </row>
    <row r="25" spans="2:11" x14ac:dyDescent="0.25">
      <c r="B25" s="263">
        <v>44446</v>
      </c>
      <c r="C25" s="162">
        <v>4520.03</v>
      </c>
      <c r="D25" s="94">
        <f t="shared" si="0"/>
        <v>-3.3954884101398131E-3</v>
      </c>
      <c r="F25" s="161">
        <v>1472.04</v>
      </c>
      <c r="G25" s="94">
        <f t="shared" si="1"/>
        <v>3.6339835413952137E-3</v>
      </c>
      <c r="J25" s="264">
        <v>177.8</v>
      </c>
      <c r="K25" s="94">
        <f t="shared" si="2"/>
        <v>1.0456922027733517E-2</v>
      </c>
    </row>
    <row r="26" spans="2:11" x14ac:dyDescent="0.25">
      <c r="B26" s="263">
        <v>44447</v>
      </c>
      <c r="C26" s="162">
        <v>4514.07</v>
      </c>
      <c r="D26" s="94">
        <f t="shared" si="0"/>
        <v>-1.3185753191903293E-3</v>
      </c>
      <c r="F26" s="161">
        <v>1474.34</v>
      </c>
      <c r="G26" s="94">
        <f t="shared" si="1"/>
        <v>1.5624575419146414E-3</v>
      </c>
      <c r="J26" s="264">
        <v>176.81</v>
      </c>
      <c r="K26" s="94">
        <f t="shared" si="2"/>
        <v>-5.5680539932508877E-3</v>
      </c>
    </row>
    <row r="27" spans="2:11" x14ac:dyDescent="0.25">
      <c r="B27" s="263">
        <v>44448</v>
      </c>
      <c r="C27" s="162">
        <v>4493.28</v>
      </c>
      <c r="D27" s="94">
        <f t="shared" si="0"/>
        <v>-4.6055998245485563E-3</v>
      </c>
      <c r="F27" s="161">
        <v>1470.27</v>
      </c>
      <c r="G27" s="94">
        <f t="shared" si="1"/>
        <v>-2.7605572663021993E-3</v>
      </c>
      <c r="J27" s="264">
        <v>180.64</v>
      </c>
      <c r="K27" s="94">
        <f t="shared" si="2"/>
        <v>2.1661670719981707E-2</v>
      </c>
    </row>
    <row r="28" spans="2:11" x14ac:dyDescent="0.25">
      <c r="B28" s="263">
        <v>44449</v>
      </c>
      <c r="C28" s="162">
        <v>4458.58</v>
      </c>
      <c r="D28" s="94">
        <f t="shared" si="0"/>
        <v>-7.7226435922087555E-3</v>
      </c>
      <c r="F28" s="161">
        <v>1461.86</v>
      </c>
      <c r="G28" s="94">
        <f t="shared" si="1"/>
        <v>-5.7200378161834653E-3</v>
      </c>
      <c r="J28" s="264">
        <v>183.89</v>
      </c>
      <c r="K28" s="94">
        <f t="shared" si="2"/>
        <v>1.7991585473870586E-2</v>
      </c>
    </row>
    <row r="29" spans="2:11" x14ac:dyDescent="0.25">
      <c r="B29" s="263">
        <v>44452</v>
      </c>
      <c r="C29" s="162">
        <v>4468.7299999999996</v>
      </c>
      <c r="D29" s="94">
        <f t="shared" si="0"/>
        <v>2.2765095613401787E-3</v>
      </c>
      <c r="F29" s="161">
        <v>1463.93</v>
      </c>
      <c r="G29" s="94">
        <f t="shared" si="1"/>
        <v>1.4160042685347207E-3</v>
      </c>
      <c r="J29" s="264">
        <v>180.78</v>
      </c>
      <c r="K29" s="94">
        <f t="shared" si="2"/>
        <v>-1.6912284517918263E-2</v>
      </c>
    </row>
    <row r="30" spans="2:11" x14ac:dyDescent="0.25">
      <c r="B30" s="263">
        <v>44453</v>
      </c>
      <c r="C30" s="162">
        <v>4443.05</v>
      </c>
      <c r="D30" s="94">
        <f t="shared" si="0"/>
        <v>-5.7465991456183696E-3</v>
      </c>
      <c r="F30" s="161">
        <v>1459.13</v>
      </c>
      <c r="G30" s="94">
        <f t="shared" si="1"/>
        <v>-3.2788452999801265E-3</v>
      </c>
      <c r="J30" s="264">
        <v>178.95</v>
      </c>
      <c r="K30" s="94">
        <f t="shared" si="2"/>
        <v>-1.0122801194822451E-2</v>
      </c>
    </row>
    <row r="31" spans="2:11" x14ac:dyDescent="0.25">
      <c r="B31" s="263">
        <v>44454</v>
      </c>
      <c r="C31" s="162">
        <v>4480.7</v>
      </c>
      <c r="D31" s="94">
        <f t="shared" si="0"/>
        <v>8.4739086888510062E-3</v>
      </c>
      <c r="F31" s="161">
        <v>1468.74</v>
      </c>
      <c r="G31" s="94">
        <f t="shared" si="1"/>
        <v>6.5861163844207482E-3</v>
      </c>
      <c r="J31" s="264">
        <v>180.7</v>
      </c>
      <c r="K31" s="94">
        <f t="shared" si="2"/>
        <v>9.7792679519419501E-3</v>
      </c>
    </row>
    <row r="32" spans="2:11" x14ac:dyDescent="0.25">
      <c r="B32" s="263">
        <v>44455</v>
      </c>
      <c r="C32" s="162">
        <v>4473.75</v>
      </c>
      <c r="D32" s="94">
        <f t="shared" si="0"/>
        <v>-1.5510969268194286E-3</v>
      </c>
      <c r="F32" s="161">
        <v>1475.27</v>
      </c>
      <c r="G32" s="94">
        <f t="shared" si="1"/>
        <v>4.4459877173632645E-3</v>
      </c>
      <c r="J32" s="264">
        <v>184.75</v>
      </c>
      <c r="K32" s="94">
        <f t="shared" si="2"/>
        <v>2.2412838959601666E-2</v>
      </c>
    </row>
    <row r="33" spans="2:11" x14ac:dyDescent="0.25">
      <c r="B33" s="263">
        <v>44456</v>
      </c>
      <c r="C33" s="162">
        <v>4432.99</v>
      </c>
      <c r="D33" s="94">
        <f t="shared" si="0"/>
        <v>-9.1109248393406173E-3</v>
      </c>
      <c r="F33" s="161">
        <v>1469.69</v>
      </c>
      <c r="G33" s="94">
        <f t="shared" si="1"/>
        <v>-3.7823584835318114E-3</v>
      </c>
      <c r="J33" s="264">
        <v>183.24</v>
      </c>
      <c r="K33" s="94">
        <f t="shared" si="2"/>
        <v>-8.1732070365357901E-3</v>
      </c>
    </row>
    <row r="34" spans="2:11" x14ac:dyDescent="0.25">
      <c r="B34" s="263">
        <v>44459</v>
      </c>
      <c r="C34" s="162">
        <v>4357.7299999999996</v>
      </c>
      <c r="D34" s="94">
        <f t="shared" si="0"/>
        <v>-1.6977254629493954E-2</v>
      </c>
      <c r="F34" s="161">
        <v>1434.9</v>
      </c>
      <c r="G34" s="94">
        <f t="shared" si="1"/>
        <v>-2.3671658649102811E-2</v>
      </c>
      <c r="J34" s="264">
        <v>181.66</v>
      </c>
      <c r="K34" s="94">
        <f t="shared" si="2"/>
        <v>-8.6225714909409223E-3</v>
      </c>
    </row>
    <row r="35" spans="2:11" x14ac:dyDescent="0.25">
      <c r="B35" s="263">
        <v>44460</v>
      </c>
      <c r="C35" s="162">
        <v>4354.1899999999996</v>
      </c>
      <c r="D35" s="94">
        <f t="shared" si="0"/>
        <v>-8.1234954896236555E-4</v>
      </c>
      <c r="F35" s="161">
        <v>1436.09</v>
      </c>
      <c r="G35" s="94">
        <f t="shared" si="1"/>
        <v>8.2932608544128428E-4</v>
      </c>
      <c r="J35" s="264">
        <v>181.17</v>
      </c>
      <c r="K35" s="94">
        <f t="shared" si="2"/>
        <v>-2.6973466916218047E-3</v>
      </c>
    </row>
    <row r="36" spans="2:11" x14ac:dyDescent="0.25">
      <c r="B36" s="263">
        <v>44461</v>
      </c>
      <c r="C36" s="162">
        <v>4395.6400000000003</v>
      </c>
      <c r="D36" s="94">
        <f t="shared" si="0"/>
        <v>9.5195662109373025E-3</v>
      </c>
      <c r="F36" s="161">
        <v>1454.97</v>
      </c>
      <c r="G36" s="94">
        <f t="shared" si="1"/>
        <v>1.3146808347666239E-2</v>
      </c>
      <c r="J36" s="264">
        <v>184.05</v>
      </c>
      <c r="K36" s="94">
        <f t="shared" si="2"/>
        <v>1.5896671634376691E-2</v>
      </c>
    </row>
    <row r="37" spans="2:11" x14ac:dyDescent="0.25">
      <c r="B37" s="263">
        <v>44462</v>
      </c>
      <c r="C37" s="162">
        <v>4448.9799999999996</v>
      </c>
      <c r="D37" s="94">
        <f t="shared" si="0"/>
        <v>1.2134751708511082E-2</v>
      </c>
      <c r="F37" s="161">
        <v>1469.77</v>
      </c>
      <c r="G37" s="94">
        <f t="shared" si="1"/>
        <v>1.0172031038440554E-2</v>
      </c>
      <c r="J37" s="264">
        <v>183.24</v>
      </c>
      <c r="K37" s="94">
        <f t="shared" si="2"/>
        <v>-4.400977995110078E-3</v>
      </c>
    </row>
    <row r="38" spans="2:11" x14ac:dyDescent="0.25">
      <c r="B38" s="263">
        <v>44463</v>
      </c>
      <c r="C38" s="162">
        <v>4455.4799999999996</v>
      </c>
      <c r="D38" s="94">
        <f t="shared" si="0"/>
        <v>1.4610090402744635E-3</v>
      </c>
      <c r="F38" s="161">
        <v>1474.29</v>
      </c>
      <c r="G38" s="94">
        <f t="shared" si="1"/>
        <v>3.0753111030976665E-3</v>
      </c>
      <c r="J38" s="264">
        <v>181.5</v>
      </c>
      <c r="K38" s="94">
        <f t="shared" si="2"/>
        <v>-9.4957432874918091E-3</v>
      </c>
    </row>
    <row r="39" spans="2:11" x14ac:dyDescent="0.25">
      <c r="B39" s="263">
        <v>44466</v>
      </c>
      <c r="C39" s="162">
        <v>4443.1099999999997</v>
      </c>
      <c r="D39" s="94">
        <f t="shared" si="0"/>
        <v>-2.7763563072890074E-3</v>
      </c>
      <c r="F39" s="161">
        <v>1479.96</v>
      </c>
      <c r="G39" s="94">
        <f t="shared" si="1"/>
        <v>3.8459190525610421E-3</v>
      </c>
      <c r="J39" s="264">
        <v>175.5</v>
      </c>
      <c r="K39" s="94">
        <f t="shared" si="2"/>
        <v>-3.3057851239669422E-2</v>
      </c>
    </row>
    <row r="40" spans="2:11" x14ac:dyDescent="0.25">
      <c r="B40" s="263">
        <v>44467</v>
      </c>
      <c r="C40" s="162">
        <v>4352.63</v>
      </c>
      <c r="D40" s="94">
        <f t="shared" si="0"/>
        <v>-2.0364114325326033E-2</v>
      </c>
      <c r="F40" s="161">
        <v>1450.27</v>
      </c>
      <c r="G40" s="94">
        <f t="shared" si="1"/>
        <v>-2.0061353009540817E-2</v>
      </c>
      <c r="J40" s="264">
        <v>165.5</v>
      </c>
      <c r="K40" s="94">
        <f t="shared" si="2"/>
        <v>-5.6980056980056926E-2</v>
      </c>
    </row>
    <row r="41" spans="2:11" x14ac:dyDescent="0.25">
      <c r="B41" s="263">
        <v>44468</v>
      </c>
      <c r="C41" s="162">
        <v>4359.46</v>
      </c>
      <c r="D41" s="94">
        <f t="shared" si="0"/>
        <v>1.5691662282344421E-3</v>
      </c>
      <c r="F41" s="161">
        <v>1450.93</v>
      </c>
      <c r="G41" s="94">
        <f t="shared" si="1"/>
        <v>4.5508767332980149E-4</v>
      </c>
      <c r="J41" s="264">
        <v>164.9</v>
      </c>
      <c r="K41" s="94">
        <f t="shared" si="2"/>
        <v>-3.6253776435044571E-3</v>
      </c>
    </row>
    <row r="42" spans="2:11" x14ac:dyDescent="0.25">
      <c r="B42" s="263">
        <v>44469</v>
      </c>
      <c r="C42" s="162">
        <v>4307.54</v>
      </c>
      <c r="D42" s="94">
        <f t="shared" si="0"/>
        <v>-1.1909731939276913E-2</v>
      </c>
      <c r="F42" s="161">
        <v>1429.69</v>
      </c>
      <c r="G42" s="94">
        <f t="shared" si="1"/>
        <v>-1.4638886782959881E-2</v>
      </c>
      <c r="J42" s="264">
        <v>163.93</v>
      </c>
      <c r="K42" s="94">
        <f t="shared" si="2"/>
        <v>-5.8823529411764497E-3</v>
      </c>
    </row>
    <row r="43" spans="2:11" x14ac:dyDescent="0.25">
      <c r="B43" s="263">
        <v>44470</v>
      </c>
      <c r="C43" s="162">
        <v>4357.04</v>
      </c>
      <c r="D43" s="94">
        <f t="shared" si="0"/>
        <v>1.1491477734391298E-2</v>
      </c>
      <c r="F43" s="161">
        <v>1438.51</v>
      </c>
      <c r="G43" s="94">
        <f t="shared" si="1"/>
        <v>6.1691695402499303E-3</v>
      </c>
      <c r="J43" s="264">
        <v>169.44</v>
      </c>
      <c r="K43" s="94">
        <f t="shared" si="2"/>
        <v>3.3611907521503115E-2</v>
      </c>
    </row>
    <row r="44" spans="2:11" x14ac:dyDescent="0.25">
      <c r="B44" s="263">
        <v>44473</v>
      </c>
      <c r="C44" s="162">
        <v>4300.46</v>
      </c>
      <c r="D44" s="94">
        <f t="shared" si="0"/>
        <v>-1.2985880322420762E-2</v>
      </c>
      <c r="F44" s="161">
        <v>1423.17</v>
      </c>
      <c r="G44" s="94">
        <f t="shared" si="1"/>
        <v>-1.0663811860883721E-2</v>
      </c>
      <c r="J44" s="264">
        <v>168.84</v>
      </c>
      <c r="K44" s="94">
        <f t="shared" si="2"/>
        <v>-3.5410764872521039E-3</v>
      </c>
    </row>
    <row r="45" spans="2:11" x14ac:dyDescent="0.25">
      <c r="B45" s="263">
        <v>44474</v>
      </c>
      <c r="C45" s="162">
        <v>4345.72</v>
      </c>
      <c r="D45" s="94">
        <f t="shared" si="0"/>
        <v>1.0524455523362564E-2</v>
      </c>
      <c r="F45" s="161">
        <v>1430.49</v>
      </c>
      <c r="G45" s="94">
        <f t="shared" si="1"/>
        <v>5.1434473745231024E-3</v>
      </c>
      <c r="J45" s="264">
        <v>166.11</v>
      </c>
      <c r="K45" s="94">
        <f t="shared" si="2"/>
        <v>-1.6169154228855676E-2</v>
      </c>
    </row>
    <row r="46" spans="2:11" x14ac:dyDescent="0.25">
      <c r="B46" s="263">
        <v>44475</v>
      </c>
      <c r="C46" s="162">
        <v>4363.55</v>
      </c>
      <c r="D46" s="94">
        <f t="shared" si="0"/>
        <v>4.1028874386752623E-3</v>
      </c>
      <c r="F46" s="161">
        <v>1436.47</v>
      </c>
      <c r="G46" s="94">
        <f t="shared" si="1"/>
        <v>4.1803857419486778E-3</v>
      </c>
      <c r="J46" s="264">
        <v>160.46</v>
      </c>
      <c r="K46" s="94">
        <f t="shared" si="2"/>
        <v>-3.4013605442176909E-2</v>
      </c>
    </row>
    <row r="47" spans="2:11" x14ac:dyDescent="0.25">
      <c r="B47" s="263">
        <v>44476</v>
      </c>
      <c r="C47" s="162">
        <v>4399.76</v>
      </c>
      <c r="D47" s="94">
        <f t="shared" si="0"/>
        <v>8.2982892369745098E-3</v>
      </c>
      <c r="F47" s="161">
        <v>1458.03</v>
      </c>
      <c r="G47" s="94">
        <f t="shared" si="1"/>
        <v>1.5009015155206917E-2</v>
      </c>
      <c r="J47" s="264">
        <v>160.63</v>
      </c>
      <c r="K47" s="94">
        <f t="shared" si="2"/>
        <v>1.0594540695498811E-3</v>
      </c>
    </row>
    <row r="48" spans="2:11" x14ac:dyDescent="0.25">
      <c r="B48" s="263">
        <v>44477</v>
      </c>
      <c r="C48" s="162">
        <v>4391.34</v>
      </c>
      <c r="D48" s="94">
        <f t="shared" si="0"/>
        <v>-1.9137407494954628E-3</v>
      </c>
      <c r="F48" s="161">
        <v>1451.37</v>
      </c>
      <c r="G48" s="94">
        <f t="shared" si="1"/>
        <v>-4.5678072467645325E-3</v>
      </c>
      <c r="J48" s="264">
        <v>157.78</v>
      </c>
      <c r="K48" s="94">
        <f t="shared" si="2"/>
        <v>-1.7742638361451735E-2</v>
      </c>
    </row>
    <row r="49" spans="2:11" x14ac:dyDescent="0.25">
      <c r="B49" s="263">
        <v>44480</v>
      </c>
      <c r="C49" s="162">
        <v>4361.1899999999996</v>
      </c>
      <c r="D49" s="94">
        <f t="shared" si="0"/>
        <v>-6.8657858421348195E-3</v>
      </c>
      <c r="F49" s="161">
        <v>1444.38</v>
      </c>
      <c r="G49" s="94">
        <f t="shared" si="1"/>
        <v>-4.8161392339649556E-3</v>
      </c>
      <c r="J49" s="264">
        <v>159.32</v>
      </c>
      <c r="K49" s="94">
        <f t="shared" si="2"/>
        <v>9.7604259094941082E-3</v>
      </c>
    </row>
    <row r="50" spans="2:11" x14ac:dyDescent="0.25">
      <c r="B50" s="263">
        <v>44481</v>
      </c>
      <c r="C50" s="162">
        <v>4350.6499999999996</v>
      </c>
      <c r="D50" s="94">
        <f t="shared" si="0"/>
        <v>-2.4167715692277048E-3</v>
      </c>
      <c r="F50" s="161">
        <v>1454.24</v>
      </c>
      <c r="G50" s="94">
        <f t="shared" si="1"/>
        <v>6.8264584112214255E-3</v>
      </c>
      <c r="J50" s="264">
        <v>165.14</v>
      </c>
      <c r="K50" s="94">
        <f t="shared" si="2"/>
        <v>3.653025357770523E-2</v>
      </c>
    </row>
    <row r="51" spans="2:11" x14ac:dyDescent="0.25">
      <c r="B51" s="263">
        <v>44482</v>
      </c>
      <c r="C51" s="162">
        <v>4363.8</v>
      </c>
      <c r="D51" s="94">
        <f t="shared" si="0"/>
        <v>3.0225368623080229E-3</v>
      </c>
      <c r="F51" s="161">
        <v>1462.48</v>
      </c>
      <c r="G51" s="94">
        <f t="shared" si="1"/>
        <v>5.6661898998788818E-3</v>
      </c>
      <c r="J51" s="264">
        <v>168.62</v>
      </c>
      <c r="K51" s="94">
        <f t="shared" si="2"/>
        <v>2.1073028945137517E-2</v>
      </c>
    </row>
    <row r="52" spans="2:11" x14ac:dyDescent="0.25">
      <c r="B52" s="263">
        <v>44483</v>
      </c>
      <c r="C52" s="162">
        <v>4438.26</v>
      </c>
      <c r="D52" s="94">
        <f t="shared" si="0"/>
        <v>1.706311013337003E-2</v>
      </c>
      <c r="F52" s="161">
        <v>1476.89</v>
      </c>
      <c r="G52" s="94">
        <f t="shared" si="1"/>
        <v>9.8531261965975059E-3</v>
      </c>
      <c r="J52" s="264">
        <v>174.23</v>
      </c>
      <c r="K52" s="94">
        <f t="shared" si="2"/>
        <v>3.3270074724231824E-2</v>
      </c>
    </row>
    <row r="53" spans="2:11" x14ac:dyDescent="0.25">
      <c r="B53" s="263">
        <v>44484</v>
      </c>
      <c r="C53" s="162">
        <v>4471.37</v>
      </c>
      <c r="D53" s="94">
        <f t="shared" si="0"/>
        <v>7.4601307719690535E-3</v>
      </c>
      <c r="F53" s="161">
        <v>1502.87</v>
      </c>
      <c r="G53" s="94">
        <f t="shared" si="1"/>
        <v>1.7591018965528837E-2</v>
      </c>
      <c r="J53" s="264">
        <v>171.82</v>
      </c>
      <c r="K53" s="94">
        <f t="shared" si="2"/>
        <v>-1.3832290650289791E-2</v>
      </c>
    </row>
    <row r="54" spans="2:11" x14ac:dyDescent="0.25">
      <c r="B54" s="263">
        <v>44487</v>
      </c>
      <c r="C54" s="162">
        <v>4486.46</v>
      </c>
      <c r="D54" s="94">
        <f t="shared" si="0"/>
        <v>3.3748045900920953E-3</v>
      </c>
      <c r="F54" s="161">
        <v>1520.9</v>
      </c>
      <c r="G54" s="94">
        <f t="shared" si="1"/>
        <v>1.1997045652651472E-2</v>
      </c>
      <c r="J54" s="264">
        <v>169.5</v>
      </c>
      <c r="K54" s="94">
        <f t="shared" si="2"/>
        <v>-1.3502502619019863E-2</v>
      </c>
    </row>
    <row r="55" spans="2:11" x14ac:dyDescent="0.25">
      <c r="B55" s="263">
        <v>44488</v>
      </c>
      <c r="C55" s="162">
        <v>4519.63</v>
      </c>
      <c r="D55" s="94">
        <f t="shared" si="0"/>
        <v>7.3933569005406596E-3</v>
      </c>
      <c r="F55" s="161">
        <v>1516.53</v>
      </c>
      <c r="G55" s="94">
        <f t="shared" si="1"/>
        <v>-2.8732987047144221E-3</v>
      </c>
      <c r="J55" s="264">
        <v>170.87</v>
      </c>
      <c r="K55" s="94">
        <f t="shared" si="2"/>
        <v>8.0825958702064327E-3</v>
      </c>
    </row>
    <row r="56" spans="2:11" x14ac:dyDescent="0.25">
      <c r="B56" s="263">
        <v>44489</v>
      </c>
      <c r="C56" s="162">
        <v>4536.1899999999996</v>
      </c>
      <c r="D56" s="94">
        <f t="shared" si="0"/>
        <v>3.6640167447334893E-3</v>
      </c>
      <c r="F56" s="161">
        <v>1514.23</v>
      </c>
      <c r="G56" s="94">
        <f t="shared" si="1"/>
        <v>-1.5166201789611478E-3</v>
      </c>
      <c r="J56" s="264">
        <v>167.08</v>
      </c>
      <c r="K56" s="94">
        <f t="shared" si="2"/>
        <v>-2.2180605138409248E-2</v>
      </c>
    </row>
    <row r="57" spans="2:11" x14ac:dyDescent="0.25">
      <c r="B57" s="263">
        <v>44490</v>
      </c>
      <c r="C57" s="162">
        <v>4549.78</v>
      </c>
      <c r="D57" s="94">
        <f t="shared" si="0"/>
        <v>2.995906256131331E-3</v>
      </c>
      <c r="F57" s="161">
        <v>1535.2</v>
      </c>
      <c r="G57" s="94">
        <f t="shared" si="1"/>
        <v>1.3848622732345772E-2</v>
      </c>
      <c r="J57" s="264">
        <v>169.6</v>
      </c>
      <c r="K57" s="94">
        <f t="shared" si="2"/>
        <v>1.508259516399324E-2</v>
      </c>
    </row>
    <row r="58" spans="2:11" x14ac:dyDescent="0.25">
      <c r="B58" s="263">
        <v>44491</v>
      </c>
      <c r="C58" s="162">
        <v>4544.8999999999996</v>
      </c>
      <c r="D58" s="94">
        <f t="shared" si="0"/>
        <v>-1.0725793335062406E-3</v>
      </c>
      <c r="F58" s="161">
        <v>1525.03</v>
      </c>
      <c r="G58" s="94">
        <f t="shared" si="1"/>
        <v>-6.6245440333507766E-3</v>
      </c>
      <c r="J58" s="264">
        <v>172.54</v>
      </c>
      <c r="K58" s="94">
        <f t="shared" si="2"/>
        <v>1.733490566037732E-2</v>
      </c>
    </row>
    <row r="59" spans="2:11" x14ac:dyDescent="0.25">
      <c r="B59" s="263">
        <v>44494</v>
      </c>
      <c r="C59" s="162">
        <v>4566.4799999999996</v>
      </c>
      <c r="D59" s="94">
        <f t="shared" si="0"/>
        <v>4.7481792778718557E-3</v>
      </c>
      <c r="F59" s="161">
        <v>1557.28</v>
      </c>
      <c r="G59" s="94">
        <f t="shared" si="1"/>
        <v>2.1147124974590703E-2</v>
      </c>
      <c r="J59" s="264">
        <v>173.63</v>
      </c>
      <c r="K59" s="94">
        <f t="shared" si="2"/>
        <v>6.3173756810015469E-3</v>
      </c>
    </row>
    <row r="60" spans="2:11" x14ac:dyDescent="0.25">
      <c r="B60" s="263">
        <v>44495</v>
      </c>
      <c r="C60" s="162">
        <v>4574.79</v>
      </c>
      <c r="D60" s="94">
        <f t="shared" si="0"/>
        <v>1.8197824144636776E-3</v>
      </c>
      <c r="F60" s="161">
        <v>1560.96</v>
      </c>
      <c r="G60" s="94">
        <f t="shared" si="1"/>
        <v>2.3630946265282837E-3</v>
      </c>
      <c r="J60" s="264">
        <v>172.16</v>
      </c>
      <c r="K60" s="94">
        <f t="shared" si="2"/>
        <v>-8.4662788688590895E-3</v>
      </c>
    </row>
    <row r="61" spans="2:11" x14ac:dyDescent="0.25">
      <c r="B61" s="263">
        <v>44496</v>
      </c>
      <c r="C61" s="162">
        <v>4551.68</v>
      </c>
      <c r="D61" s="94">
        <f t="shared" si="0"/>
        <v>-5.0515979968478453E-3</v>
      </c>
      <c r="F61" s="161">
        <v>1564.73</v>
      </c>
      <c r="G61" s="94">
        <f t="shared" si="1"/>
        <v>2.4151804018039957E-3</v>
      </c>
      <c r="J61" s="264">
        <v>170.21</v>
      </c>
      <c r="K61" s="94">
        <f t="shared" si="2"/>
        <v>-1.132667286245348E-2</v>
      </c>
    </row>
    <row r="62" spans="2:11" x14ac:dyDescent="0.25">
      <c r="B62" s="263">
        <v>44497</v>
      </c>
      <c r="C62" s="162">
        <v>4596.42</v>
      </c>
      <c r="D62" s="94">
        <f t="shared" si="0"/>
        <v>9.8293377390326064E-3</v>
      </c>
      <c r="F62" s="161">
        <v>1586.11</v>
      </c>
      <c r="G62" s="94">
        <f t="shared" si="1"/>
        <v>1.3663699168546595E-2</v>
      </c>
      <c r="J62" s="264">
        <v>168.61</v>
      </c>
      <c r="K62" s="94">
        <f t="shared" si="2"/>
        <v>-9.4001527524821826E-3</v>
      </c>
    </row>
    <row r="63" spans="2:11" x14ac:dyDescent="0.25">
      <c r="B63" s="263">
        <v>44498</v>
      </c>
      <c r="C63" s="162">
        <v>4605.38</v>
      </c>
      <c r="D63" s="94">
        <f t="shared" si="0"/>
        <v>1.9493431844783693E-3</v>
      </c>
      <c r="F63" s="161">
        <v>1585.72</v>
      </c>
      <c r="G63" s="94">
        <f t="shared" si="1"/>
        <v>-2.4588458555829806E-4</v>
      </c>
      <c r="J63" s="264">
        <v>172.47</v>
      </c>
      <c r="K63" s="94">
        <f t="shared" si="2"/>
        <v>2.2893066840637966E-2</v>
      </c>
    </row>
    <row r="64" spans="2:11" x14ac:dyDescent="0.25">
      <c r="B64" s="263">
        <v>44501</v>
      </c>
      <c r="C64" s="162">
        <v>4613.67</v>
      </c>
      <c r="D64" s="94">
        <f t="shared" si="0"/>
        <v>1.8000686154020507E-3</v>
      </c>
      <c r="F64" s="161">
        <v>1608.8</v>
      </c>
      <c r="G64" s="94">
        <f t="shared" si="1"/>
        <v>1.4554902504855693E-2</v>
      </c>
      <c r="J64" s="264">
        <v>173.73</v>
      </c>
      <c r="K64" s="94">
        <f t="shared" si="2"/>
        <v>7.3056183684119258E-3</v>
      </c>
    </row>
    <row r="65" spans="2:11" x14ac:dyDescent="0.25">
      <c r="B65" s="263">
        <v>44502</v>
      </c>
      <c r="C65" s="162">
        <v>4630.6499999999996</v>
      </c>
      <c r="D65" s="94">
        <f t="shared" si="0"/>
        <v>3.6803672564356127E-3</v>
      </c>
      <c r="F65" s="161">
        <v>1598.81</v>
      </c>
      <c r="G65" s="94">
        <f t="shared" si="1"/>
        <v>-6.2095972153157764E-3</v>
      </c>
      <c r="J65" s="264">
        <v>168.38</v>
      </c>
      <c r="K65" s="94">
        <f t="shared" si="2"/>
        <v>-3.0794911644505762E-2</v>
      </c>
    </row>
    <row r="66" spans="2:11" x14ac:dyDescent="0.25">
      <c r="B66" s="263">
        <v>44503</v>
      </c>
      <c r="C66" s="162">
        <v>4660.57</v>
      </c>
      <c r="D66" s="94">
        <f t="shared" si="0"/>
        <v>6.4612959303769202E-3</v>
      </c>
      <c r="F66" s="161">
        <v>1628.22</v>
      </c>
      <c r="G66" s="94">
        <f t="shared" si="1"/>
        <v>1.8394931230102385E-2</v>
      </c>
      <c r="J66" s="264">
        <v>151.47999999999999</v>
      </c>
      <c r="K66" s="94">
        <f t="shared" si="2"/>
        <v>-0.10036821475234592</v>
      </c>
    </row>
    <row r="67" spans="2:11" x14ac:dyDescent="0.25">
      <c r="B67" s="263">
        <v>44504</v>
      </c>
      <c r="C67" s="162">
        <v>4680.0600000000004</v>
      </c>
      <c r="D67" s="94">
        <f t="shared" si="0"/>
        <v>4.1818919145084621E-3</v>
      </c>
      <c r="F67" s="161">
        <v>1652.45</v>
      </c>
      <c r="G67" s="94">
        <f t="shared" si="1"/>
        <v>1.4881281399319546E-2</v>
      </c>
      <c r="J67" s="264">
        <v>164.04</v>
      </c>
      <c r="K67" s="94">
        <f t="shared" si="2"/>
        <v>8.2915236334829778E-2</v>
      </c>
    </row>
    <row r="68" spans="2:11" x14ac:dyDescent="0.25">
      <c r="B68" s="263">
        <v>44505</v>
      </c>
      <c r="C68" s="162">
        <v>4697.53</v>
      </c>
      <c r="D68" s="94">
        <f t="shared" si="0"/>
        <v>3.7328581257503046E-3</v>
      </c>
      <c r="F68" s="161">
        <v>1664.89</v>
      </c>
      <c r="G68" s="94">
        <f t="shared" si="1"/>
        <v>7.5282156797482624E-3</v>
      </c>
      <c r="J68" s="264">
        <v>166.72</v>
      </c>
      <c r="K68" s="94">
        <f t="shared" si="2"/>
        <v>1.633747866374069E-2</v>
      </c>
    </row>
    <row r="69" spans="2:11" x14ac:dyDescent="0.25">
      <c r="B69" s="263">
        <v>44508</v>
      </c>
      <c r="C69" s="162">
        <v>4701.7</v>
      </c>
      <c r="D69" s="94">
        <f t="shared" si="0"/>
        <v>8.8770055752696031E-4</v>
      </c>
      <c r="F69" s="161">
        <v>1641.88</v>
      </c>
      <c r="G69" s="94">
        <f t="shared" si="1"/>
        <v>-1.3820732901272725E-2</v>
      </c>
      <c r="J69" s="264">
        <v>170.31</v>
      </c>
      <c r="K69" s="94">
        <f t="shared" si="2"/>
        <v>2.1533109404990425E-2</v>
      </c>
    </row>
    <row r="70" spans="2:11" x14ac:dyDescent="0.25">
      <c r="B70" s="263">
        <v>44509</v>
      </c>
      <c r="C70" s="162">
        <v>4685.25</v>
      </c>
      <c r="D70" s="94">
        <f t="shared" si="0"/>
        <v>-3.4987345002870374E-3</v>
      </c>
      <c r="F70" s="161">
        <v>1619.71</v>
      </c>
      <c r="G70" s="94">
        <f t="shared" si="1"/>
        <v>-1.3502813847540707E-2</v>
      </c>
      <c r="J70" s="264">
        <v>167.74</v>
      </c>
      <c r="K70" s="94">
        <f t="shared" si="2"/>
        <v>-1.5090129763372651E-2</v>
      </c>
    </row>
    <row r="71" spans="2:11" x14ac:dyDescent="0.25">
      <c r="B71" s="263">
        <v>44510</v>
      </c>
      <c r="C71" s="162">
        <v>4646.71</v>
      </c>
      <c r="D71" s="94">
        <f t="shared" si="0"/>
        <v>-8.2258150578944367E-3</v>
      </c>
      <c r="F71" s="161">
        <v>1608.69</v>
      </c>
      <c r="G71" s="94">
        <f t="shared" si="1"/>
        <v>-6.8036870797858473E-3</v>
      </c>
      <c r="J71" s="264">
        <v>171.06</v>
      </c>
      <c r="K71" s="94">
        <f t="shared" si="2"/>
        <v>1.9792536067723798E-2</v>
      </c>
    </row>
    <row r="72" spans="2:11" x14ac:dyDescent="0.25">
      <c r="B72" s="263">
        <v>44511</v>
      </c>
      <c r="C72" s="162">
        <v>4649.2700000000004</v>
      </c>
      <c r="D72" s="94">
        <f t="shared" si="0"/>
        <v>5.5092743037565839E-4</v>
      </c>
      <c r="F72" s="161">
        <v>1604.62</v>
      </c>
      <c r="G72" s="94">
        <f t="shared" si="1"/>
        <v>-2.530008889220503E-3</v>
      </c>
      <c r="J72" s="264">
        <v>171.74</v>
      </c>
      <c r="K72" s="94">
        <f t="shared" si="2"/>
        <v>3.9752133754238361E-3</v>
      </c>
    </row>
    <row r="73" spans="2:11" x14ac:dyDescent="0.25">
      <c r="B73" s="263">
        <v>44512</v>
      </c>
      <c r="C73" s="162">
        <v>4682.8500000000004</v>
      </c>
      <c r="D73" s="94">
        <f t="shared" ref="D73:D136" si="3">C73/C72-1</f>
        <v>7.2226392530441164E-3</v>
      </c>
      <c r="F73" s="161">
        <v>1611.82</v>
      </c>
      <c r="G73" s="94">
        <f t="shared" ref="G73:G136" si="4">F73/F72-1</f>
        <v>4.4870436614277143E-3</v>
      </c>
      <c r="J73" s="264">
        <v>169.81</v>
      </c>
      <c r="K73" s="94">
        <f t="shared" si="2"/>
        <v>-1.1237917782694784E-2</v>
      </c>
    </row>
    <row r="74" spans="2:11" x14ac:dyDescent="0.25">
      <c r="B74" s="263">
        <v>44515</v>
      </c>
      <c r="C74" s="162">
        <v>4682.8</v>
      </c>
      <c r="D74" s="94">
        <f t="shared" si="3"/>
        <v>-1.0677258507119092E-5</v>
      </c>
      <c r="F74" s="161">
        <v>1611.39</v>
      </c>
      <c r="G74" s="94">
        <f t="shared" si="4"/>
        <v>-2.667791688897303E-4</v>
      </c>
      <c r="J74" s="264">
        <v>167.16</v>
      </c>
      <c r="K74" s="94">
        <f t="shared" ref="K74:K137" si="5">J74/J73-1</f>
        <v>-1.5605676933042822E-2</v>
      </c>
    </row>
    <row r="75" spans="2:11" x14ac:dyDescent="0.25">
      <c r="B75" s="263">
        <v>44516</v>
      </c>
      <c r="C75" s="162">
        <v>4700.8999999999996</v>
      </c>
      <c r="D75" s="94">
        <f t="shared" si="3"/>
        <v>3.8652088494062209E-3</v>
      </c>
      <c r="F75" s="161">
        <v>1633.55</v>
      </c>
      <c r="G75" s="94">
        <f t="shared" si="4"/>
        <v>1.3752102222304829E-2</v>
      </c>
      <c r="J75" s="264">
        <v>168.44</v>
      </c>
      <c r="K75" s="94">
        <f t="shared" si="5"/>
        <v>7.6573342905001951E-3</v>
      </c>
    </row>
    <row r="76" spans="2:11" x14ac:dyDescent="0.25">
      <c r="B76" s="263">
        <v>44517</v>
      </c>
      <c r="C76" s="162">
        <v>4688.67</v>
      </c>
      <c r="D76" s="94">
        <f t="shared" si="3"/>
        <v>-2.6016294752068125E-3</v>
      </c>
      <c r="F76" s="161">
        <v>1643.14</v>
      </c>
      <c r="G76" s="94">
        <f t="shared" si="4"/>
        <v>5.8706498117597761E-3</v>
      </c>
      <c r="J76" s="264">
        <v>166.1</v>
      </c>
      <c r="K76" s="94">
        <f t="shared" si="5"/>
        <v>-1.3892187128948019E-2</v>
      </c>
    </row>
    <row r="77" spans="2:11" x14ac:dyDescent="0.25">
      <c r="B77" s="263">
        <v>44518</v>
      </c>
      <c r="C77" s="162">
        <v>4704.54</v>
      </c>
      <c r="D77" s="94">
        <f t="shared" si="3"/>
        <v>3.3847551651107199E-3</v>
      </c>
      <c r="F77" s="161">
        <v>1667.62</v>
      </c>
      <c r="G77" s="94">
        <f t="shared" si="4"/>
        <v>1.4898304465839729E-2</v>
      </c>
      <c r="J77" s="264">
        <v>171.94</v>
      </c>
      <c r="K77" s="94">
        <f t="shared" si="5"/>
        <v>3.5159542444310743E-2</v>
      </c>
    </row>
    <row r="78" spans="2:11" x14ac:dyDescent="0.25">
      <c r="B78" s="263">
        <v>44519</v>
      </c>
      <c r="C78" s="162">
        <v>4697.96</v>
      </c>
      <c r="D78" s="94">
        <f t="shared" si="3"/>
        <v>-1.3986489646171663E-3</v>
      </c>
      <c r="F78" s="161">
        <v>1673.27</v>
      </c>
      <c r="G78" s="94">
        <f t="shared" si="4"/>
        <v>3.3880620285198226E-3</v>
      </c>
      <c r="J78" s="264">
        <v>176.87</v>
      </c>
      <c r="K78" s="94">
        <f t="shared" si="5"/>
        <v>2.8672792834709915E-2</v>
      </c>
    </row>
    <row r="79" spans="2:11" x14ac:dyDescent="0.25">
      <c r="B79" s="263">
        <v>44522</v>
      </c>
      <c r="C79" s="162">
        <v>4682.9399999999996</v>
      </c>
      <c r="D79" s="94">
        <f t="shared" si="3"/>
        <v>-3.1971323723489764E-3</v>
      </c>
      <c r="F79" s="161">
        <v>1664.42</v>
      </c>
      <c r="G79" s="94">
        <f t="shared" si="4"/>
        <v>-5.2890448044845551E-3</v>
      </c>
      <c r="J79" s="264">
        <v>171.11</v>
      </c>
      <c r="K79" s="94">
        <f t="shared" si="5"/>
        <v>-3.2566291626618393E-2</v>
      </c>
    </row>
    <row r="80" spans="2:11" x14ac:dyDescent="0.25">
      <c r="B80" s="263">
        <v>44523</v>
      </c>
      <c r="C80" s="162">
        <v>4690.7</v>
      </c>
      <c r="D80" s="94">
        <f t="shared" si="3"/>
        <v>1.6570786727996278E-3</v>
      </c>
      <c r="F80" s="161">
        <v>1653.96</v>
      </c>
      <c r="G80" s="94">
        <f t="shared" si="4"/>
        <v>-6.2844714675382995E-3</v>
      </c>
      <c r="J80" s="264">
        <v>168.56</v>
      </c>
      <c r="K80" s="94">
        <f t="shared" si="5"/>
        <v>-1.4902694173338893E-2</v>
      </c>
    </row>
    <row r="81" spans="2:11" x14ac:dyDescent="0.25">
      <c r="B81" s="263">
        <v>44524</v>
      </c>
      <c r="C81" s="162">
        <v>4701.46</v>
      </c>
      <c r="D81" s="94">
        <f t="shared" si="3"/>
        <v>2.2939006971240961E-3</v>
      </c>
      <c r="F81" s="161">
        <v>1656.62</v>
      </c>
      <c r="G81" s="94">
        <f t="shared" si="4"/>
        <v>1.6082613847976379E-3</v>
      </c>
      <c r="J81" s="264">
        <v>168.35</v>
      </c>
      <c r="K81" s="94">
        <f t="shared" si="5"/>
        <v>-1.245847176079784E-3</v>
      </c>
    </row>
    <row r="82" spans="2:11" x14ac:dyDescent="0.25">
      <c r="B82" s="263">
        <v>44526</v>
      </c>
      <c r="C82" s="162">
        <v>4594.62</v>
      </c>
      <c r="D82" s="94">
        <f t="shared" si="3"/>
        <v>-2.2724855683128209E-2</v>
      </c>
      <c r="F82" s="161">
        <v>1612.87</v>
      </c>
      <c r="G82" s="94">
        <f t="shared" si="4"/>
        <v>-2.6409194625200749E-2</v>
      </c>
      <c r="J82" s="264">
        <v>167.56</v>
      </c>
      <c r="K82" s="94">
        <f t="shared" si="5"/>
        <v>-4.6926046926046849E-3</v>
      </c>
    </row>
    <row r="83" spans="2:11" x14ac:dyDescent="0.25">
      <c r="B83" s="263">
        <v>44529</v>
      </c>
      <c r="C83" s="162">
        <v>4655.2700000000004</v>
      </c>
      <c r="D83" s="94">
        <f t="shared" si="3"/>
        <v>1.3200221128189193E-2</v>
      </c>
      <c r="F83" s="161">
        <v>1639.09</v>
      </c>
      <c r="G83" s="94">
        <f t="shared" si="4"/>
        <v>1.62567348887388E-2</v>
      </c>
      <c r="J83" s="264">
        <v>163.94</v>
      </c>
      <c r="K83" s="94">
        <f t="shared" si="5"/>
        <v>-2.160420148006692E-2</v>
      </c>
    </row>
    <row r="84" spans="2:11" x14ac:dyDescent="0.25">
      <c r="B84" s="263">
        <v>44530</v>
      </c>
      <c r="C84" s="162">
        <v>4567</v>
      </c>
      <c r="D84" s="94">
        <f t="shared" si="3"/>
        <v>-1.8961306218543861E-2</v>
      </c>
      <c r="F84" s="161">
        <v>1615.83</v>
      </c>
      <c r="G84" s="94">
        <f t="shared" si="4"/>
        <v>-1.4190800993233998E-2</v>
      </c>
      <c r="J84" s="264">
        <v>160.6</v>
      </c>
      <c r="K84" s="94">
        <f t="shared" si="5"/>
        <v>-2.0373307307551602E-2</v>
      </c>
    </row>
    <row r="85" spans="2:11" x14ac:dyDescent="0.25">
      <c r="B85" s="263">
        <v>44531</v>
      </c>
      <c r="C85" s="162">
        <v>4513.04</v>
      </c>
      <c r="D85" s="94">
        <f t="shared" si="3"/>
        <v>-1.1815195971097037E-2</v>
      </c>
      <c r="F85" s="161">
        <v>1585.73</v>
      </c>
      <c r="G85" s="94">
        <f t="shared" si="4"/>
        <v>-1.8628197273227953E-2</v>
      </c>
      <c r="J85" s="264">
        <v>158.63999999999999</v>
      </c>
      <c r="K85" s="94">
        <f t="shared" si="5"/>
        <v>-1.2204234122042412E-2</v>
      </c>
    </row>
    <row r="86" spans="2:11" x14ac:dyDescent="0.25">
      <c r="B86" s="263">
        <v>44532</v>
      </c>
      <c r="C86" s="162">
        <v>4577.1000000000004</v>
      </c>
      <c r="D86" s="94">
        <f t="shared" si="3"/>
        <v>1.4194423271231882E-2</v>
      </c>
      <c r="F86" s="161">
        <v>1604.24</v>
      </c>
      <c r="G86" s="94">
        <f t="shared" si="4"/>
        <v>1.1672857296008754E-2</v>
      </c>
      <c r="J86" s="264">
        <v>159.44</v>
      </c>
      <c r="K86" s="94">
        <f t="shared" si="5"/>
        <v>5.0428643469491163E-3</v>
      </c>
    </row>
    <row r="87" spans="2:11" x14ac:dyDescent="0.25">
      <c r="B87" s="263">
        <v>44533</v>
      </c>
      <c r="C87" s="162">
        <v>4538.43</v>
      </c>
      <c r="D87" s="94">
        <f t="shared" si="3"/>
        <v>-8.4485809792226307E-3</v>
      </c>
      <c r="F87" s="161">
        <v>1574.74</v>
      </c>
      <c r="G87" s="94">
        <f t="shared" si="4"/>
        <v>-1.8388769760135593E-2</v>
      </c>
      <c r="J87" s="264">
        <v>155.43</v>
      </c>
      <c r="K87" s="94">
        <f t="shared" si="5"/>
        <v>-2.5150526843953802E-2</v>
      </c>
    </row>
    <row r="88" spans="2:11" x14ac:dyDescent="0.25">
      <c r="B88" s="263">
        <v>44536</v>
      </c>
      <c r="C88" s="162">
        <v>4591.67</v>
      </c>
      <c r="D88" s="94">
        <f t="shared" si="3"/>
        <v>1.1730928977641941E-2</v>
      </c>
      <c r="F88" s="161">
        <v>1592.34</v>
      </c>
      <c r="G88" s="94">
        <f t="shared" si="4"/>
        <v>1.117644817557184E-2</v>
      </c>
      <c r="J88" s="264">
        <v>161.75</v>
      </c>
      <c r="K88" s="94">
        <f t="shared" si="5"/>
        <v>4.0661390979862322E-2</v>
      </c>
    </row>
    <row r="89" spans="2:11" x14ac:dyDescent="0.25">
      <c r="B89" s="263">
        <v>44537</v>
      </c>
      <c r="C89" s="162">
        <v>4686.75</v>
      </c>
      <c r="D89" s="94">
        <f t="shared" si="3"/>
        <v>2.0707063007576743E-2</v>
      </c>
      <c r="F89" s="161">
        <v>1629.91</v>
      </c>
      <c r="G89" s="94">
        <f t="shared" si="4"/>
        <v>2.3594207267292333E-2</v>
      </c>
      <c r="J89" s="264">
        <v>165.64</v>
      </c>
      <c r="K89" s="94">
        <f t="shared" si="5"/>
        <v>2.4049459041731058E-2</v>
      </c>
    </row>
    <row r="90" spans="2:11" x14ac:dyDescent="0.25">
      <c r="B90" s="263">
        <v>44538</v>
      </c>
      <c r="C90" s="162">
        <v>4701.21</v>
      </c>
      <c r="D90" s="94">
        <f t="shared" si="3"/>
        <v>3.0852936469836223E-3</v>
      </c>
      <c r="F90" s="161">
        <v>1634.45</v>
      </c>
      <c r="G90" s="94">
        <f t="shared" si="4"/>
        <v>2.7854298703609004E-3</v>
      </c>
      <c r="J90" s="264">
        <v>173.92</v>
      </c>
      <c r="K90" s="94">
        <f t="shared" si="5"/>
        <v>4.998792562183052E-2</v>
      </c>
    </row>
    <row r="91" spans="2:11" x14ac:dyDescent="0.25">
      <c r="B91" s="263">
        <v>44539</v>
      </c>
      <c r="C91" s="162">
        <v>4667.45</v>
      </c>
      <c r="D91" s="94">
        <f t="shared" si="3"/>
        <v>-7.1811299644134463E-3</v>
      </c>
      <c r="F91" s="161">
        <v>1606.72</v>
      </c>
      <c r="G91" s="94">
        <f t="shared" si="4"/>
        <v>-1.6965951849245986E-2</v>
      </c>
      <c r="J91" s="264">
        <v>167.81</v>
      </c>
      <c r="K91" s="94">
        <f t="shared" si="5"/>
        <v>-3.513109475620968E-2</v>
      </c>
    </row>
    <row r="92" spans="2:11" x14ac:dyDescent="0.25">
      <c r="B92" s="263">
        <v>44540</v>
      </c>
      <c r="C92" s="162">
        <v>4712.0200000000004</v>
      </c>
      <c r="D92" s="94">
        <f t="shared" si="3"/>
        <v>9.54911139915815E-3</v>
      </c>
      <c r="F92" s="161">
        <v>1614.44</v>
      </c>
      <c r="G92" s="94">
        <f t="shared" si="4"/>
        <v>4.8048197570205176E-3</v>
      </c>
      <c r="J92" s="264">
        <v>163.74</v>
      </c>
      <c r="K92" s="94">
        <f t="shared" si="5"/>
        <v>-2.4253620165663459E-2</v>
      </c>
    </row>
    <row r="93" spans="2:11" x14ac:dyDescent="0.25">
      <c r="B93" s="263">
        <v>44543</v>
      </c>
      <c r="C93" s="162">
        <v>4668.97</v>
      </c>
      <c r="D93" s="94">
        <f t="shared" si="3"/>
        <v>-9.1362090992822553E-3</v>
      </c>
      <c r="F93" s="161">
        <v>1575</v>
      </c>
      <c r="G93" s="94">
        <f t="shared" si="4"/>
        <v>-2.442952354996164E-2</v>
      </c>
      <c r="J93" s="264">
        <v>163.63999999999999</v>
      </c>
      <c r="K93" s="94">
        <f t="shared" si="5"/>
        <v>-6.1072431904252156E-4</v>
      </c>
    </row>
    <row r="94" spans="2:11" x14ac:dyDescent="0.25">
      <c r="B94" s="263">
        <v>44544</v>
      </c>
      <c r="C94" s="162">
        <v>4634.09</v>
      </c>
      <c r="D94" s="94">
        <f t="shared" si="3"/>
        <v>-7.4705984403412584E-3</v>
      </c>
      <c r="F94" s="161">
        <v>1565.8</v>
      </c>
      <c r="G94" s="94">
        <f t="shared" si="4"/>
        <v>-5.8412698412698694E-3</v>
      </c>
      <c r="J94" s="264">
        <v>164.11</v>
      </c>
      <c r="K94" s="94">
        <f t="shared" si="5"/>
        <v>2.87215839648014E-3</v>
      </c>
    </row>
    <row r="95" spans="2:11" x14ac:dyDescent="0.25">
      <c r="B95" s="263">
        <v>44545</v>
      </c>
      <c r="C95" s="162">
        <v>4709.8500000000004</v>
      </c>
      <c r="D95" s="94">
        <f t="shared" si="3"/>
        <v>1.6348409288555077E-2</v>
      </c>
      <c r="F95" s="161">
        <v>1588.05</v>
      </c>
      <c r="G95" s="94">
        <f t="shared" si="4"/>
        <v>1.4209988504279014E-2</v>
      </c>
      <c r="J95" s="264">
        <v>166.41</v>
      </c>
      <c r="K95" s="94">
        <f t="shared" si="5"/>
        <v>1.4014989945767997E-2</v>
      </c>
    </row>
    <row r="96" spans="2:11" x14ac:dyDescent="0.25">
      <c r="B96" s="263">
        <v>44546</v>
      </c>
      <c r="C96" s="162">
        <v>4668.67</v>
      </c>
      <c r="D96" s="94">
        <f t="shared" si="3"/>
        <v>-8.7433782392221104E-3</v>
      </c>
      <c r="F96" s="161">
        <v>1552.64</v>
      </c>
      <c r="G96" s="94">
        <f t="shared" si="4"/>
        <v>-2.2297786593621027E-2</v>
      </c>
      <c r="J96" s="264">
        <v>160.72999999999999</v>
      </c>
      <c r="K96" s="94">
        <f t="shared" si="5"/>
        <v>-3.413256414878918E-2</v>
      </c>
    </row>
    <row r="97" spans="2:11" x14ac:dyDescent="0.25">
      <c r="B97" s="263">
        <v>44547</v>
      </c>
      <c r="C97" s="162">
        <v>4620.6400000000003</v>
      </c>
      <c r="D97" s="94">
        <f t="shared" si="3"/>
        <v>-1.0287726483131143E-2</v>
      </c>
      <c r="F97" s="161">
        <v>1545.06</v>
      </c>
      <c r="G97" s="94">
        <f t="shared" si="4"/>
        <v>-4.8820074196208596E-3</v>
      </c>
      <c r="J97" s="264">
        <v>164.49</v>
      </c>
      <c r="K97" s="94">
        <f t="shared" si="5"/>
        <v>2.3393268213774743E-2</v>
      </c>
    </row>
    <row r="98" spans="2:11" x14ac:dyDescent="0.25">
      <c r="B98" s="263">
        <v>44550</v>
      </c>
      <c r="C98" s="162">
        <v>4568.0200000000004</v>
      </c>
      <c r="D98" s="94">
        <f t="shared" si="3"/>
        <v>-1.1388032826621375E-2</v>
      </c>
      <c r="F98" s="161">
        <v>1519.53</v>
      </c>
      <c r="G98" s="94">
        <f t="shared" si="4"/>
        <v>-1.6523630150285462E-2</v>
      </c>
      <c r="J98" s="264">
        <v>166.09</v>
      </c>
      <c r="K98" s="94">
        <f t="shared" si="5"/>
        <v>9.7270350781202275E-3</v>
      </c>
    </row>
    <row r="99" spans="2:11" x14ac:dyDescent="0.25">
      <c r="B99" s="263">
        <v>44551</v>
      </c>
      <c r="C99" s="162">
        <v>4649.2299999999996</v>
      </c>
      <c r="D99" s="94">
        <f t="shared" si="3"/>
        <v>1.7777943178882483E-2</v>
      </c>
      <c r="F99" s="161">
        <v>1557.45</v>
      </c>
      <c r="G99" s="94">
        <f t="shared" si="4"/>
        <v>2.4955084795956761E-2</v>
      </c>
      <c r="J99" s="264">
        <v>170.15</v>
      </c>
      <c r="K99" s="94">
        <f t="shared" si="5"/>
        <v>2.4444578240712778E-2</v>
      </c>
    </row>
    <row r="100" spans="2:11" x14ac:dyDescent="0.25">
      <c r="B100" s="263">
        <v>44552</v>
      </c>
      <c r="C100" s="162">
        <v>4696.5600000000004</v>
      </c>
      <c r="D100" s="94">
        <f t="shared" si="3"/>
        <v>1.0180180373954517E-2</v>
      </c>
      <c r="F100" s="161">
        <v>1584.4</v>
      </c>
      <c r="G100" s="94">
        <f t="shared" si="4"/>
        <v>1.7303926289768512E-2</v>
      </c>
      <c r="J100" s="264">
        <v>170.52</v>
      </c>
      <c r="K100" s="94">
        <f t="shared" si="5"/>
        <v>2.1745518660005736E-3</v>
      </c>
    </row>
    <row r="101" spans="2:11" x14ac:dyDescent="0.25">
      <c r="B101" s="263">
        <v>44553</v>
      </c>
      <c r="C101" s="162">
        <v>4725.79</v>
      </c>
      <c r="D101" s="94">
        <f t="shared" si="3"/>
        <v>6.2237041579367158E-3</v>
      </c>
      <c r="F101" s="161">
        <v>1604.1</v>
      </c>
      <c r="G101" s="94">
        <f t="shared" si="4"/>
        <v>1.2433728856349191E-2</v>
      </c>
      <c r="J101" s="264">
        <v>172.97</v>
      </c>
      <c r="K101" s="94">
        <f t="shared" si="5"/>
        <v>1.4367816091954033E-2</v>
      </c>
    </row>
    <row r="102" spans="2:11" x14ac:dyDescent="0.25">
      <c r="B102" s="263">
        <v>44557</v>
      </c>
      <c r="C102" s="162">
        <v>4791.1899999999996</v>
      </c>
      <c r="D102" s="94">
        <f t="shared" si="3"/>
        <v>1.383895602639984E-2</v>
      </c>
      <c r="F102" s="161">
        <v>1617.45</v>
      </c>
      <c r="G102" s="94">
        <f t="shared" si="4"/>
        <v>8.3224237890406894E-3</v>
      </c>
      <c r="J102" s="264">
        <v>173.06</v>
      </c>
      <c r="K102" s="94">
        <f t="shared" si="5"/>
        <v>5.2032144302471828E-4</v>
      </c>
    </row>
    <row r="103" spans="2:11" x14ac:dyDescent="0.25">
      <c r="B103" s="263">
        <v>44558</v>
      </c>
      <c r="C103" s="162">
        <v>4786.3500000000004</v>
      </c>
      <c r="D103" s="94">
        <f t="shared" si="3"/>
        <v>-1.0101874482121298E-3</v>
      </c>
      <c r="F103" s="161">
        <v>1619.34</v>
      </c>
      <c r="G103" s="94">
        <f t="shared" si="4"/>
        <v>1.1685059816377574E-3</v>
      </c>
      <c r="J103" s="264">
        <v>172.71</v>
      </c>
      <c r="K103" s="94">
        <f t="shared" si="5"/>
        <v>-2.0224199699525602E-3</v>
      </c>
    </row>
    <row r="104" spans="2:11" x14ac:dyDescent="0.25">
      <c r="B104" s="263">
        <v>44559</v>
      </c>
      <c r="C104" s="162">
        <v>4793.0600000000004</v>
      </c>
      <c r="D104" s="94">
        <f t="shared" si="3"/>
        <v>1.4019033292591576E-3</v>
      </c>
      <c r="F104" s="161">
        <v>1621.56</v>
      </c>
      <c r="G104" s="94">
        <f t="shared" si="4"/>
        <v>1.3709288969581124E-3</v>
      </c>
      <c r="J104" s="264">
        <v>172.15</v>
      </c>
      <c r="K104" s="94">
        <f t="shared" si="5"/>
        <v>-3.2424295061085351E-3</v>
      </c>
    </row>
    <row r="105" spans="2:11" x14ac:dyDescent="0.25">
      <c r="B105" s="263">
        <v>44560</v>
      </c>
      <c r="C105" s="162">
        <v>4778.7299999999996</v>
      </c>
      <c r="D105" s="94">
        <f t="shared" si="3"/>
        <v>-2.9897393314501919E-3</v>
      </c>
      <c r="F105" s="161">
        <v>1615.42</v>
      </c>
      <c r="G105" s="94">
        <f t="shared" si="4"/>
        <v>-3.7864772194675655E-3</v>
      </c>
      <c r="J105" s="264">
        <v>176.39</v>
      </c>
      <c r="K105" s="94">
        <f t="shared" si="5"/>
        <v>2.462968341562588E-2</v>
      </c>
    </row>
    <row r="106" spans="2:11" x14ac:dyDescent="0.25">
      <c r="B106" s="263">
        <v>44561</v>
      </c>
      <c r="C106" s="162">
        <v>4766.18</v>
      </c>
      <c r="D106" s="94">
        <f t="shared" si="3"/>
        <v>-2.6262207741385435E-3</v>
      </c>
      <c r="F106" s="161">
        <v>1610.76</v>
      </c>
      <c r="G106" s="94">
        <f t="shared" si="4"/>
        <v>-2.8846987161234017E-3</v>
      </c>
      <c r="J106" s="264">
        <v>172.8</v>
      </c>
      <c r="K106" s="94">
        <f t="shared" si="5"/>
        <v>-2.0352627699982806E-2</v>
      </c>
    </row>
    <row r="107" spans="2:11" x14ac:dyDescent="0.25">
      <c r="B107" s="263">
        <v>44564</v>
      </c>
      <c r="C107" s="162">
        <v>4796.5600000000004</v>
      </c>
      <c r="D107" s="94">
        <f t="shared" si="3"/>
        <v>6.3740773533522699E-3</v>
      </c>
      <c r="F107" s="161">
        <v>1655.17</v>
      </c>
      <c r="G107" s="94">
        <f t="shared" si="4"/>
        <v>2.7570836127045695E-2</v>
      </c>
      <c r="J107" s="264">
        <v>172.32</v>
      </c>
      <c r="K107" s="94">
        <f t="shared" si="5"/>
        <v>-2.7777777777778789E-3</v>
      </c>
    </row>
    <row r="108" spans="2:11" x14ac:dyDescent="0.25">
      <c r="B108" s="263">
        <v>44565</v>
      </c>
      <c r="C108" s="162">
        <v>4793.54</v>
      </c>
      <c r="D108" s="94">
        <f t="shared" si="3"/>
        <v>-6.29617892823231E-4</v>
      </c>
      <c r="F108" s="161">
        <v>1644.07</v>
      </c>
      <c r="G108" s="94">
        <f t="shared" si="4"/>
        <v>-6.7062597799623092E-3</v>
      </c>
      <c r="J108" s="264">
        <v>168.43</v>
      </c>
      <c r="K108" s="94">
        <f t="shared" si="5"/>
        <v>-2.2574280408542147E-2</v>
      </c>
    </row>
    <row r="109" spans="2:11" x14ac:dyDescent="0.25">
      <c r="B109" s="263">
        <v>44566</v>
      </c>
      <c r="C109" s="162">
        <v>4700.58</v>
      </c>
      <c r="D109" s="94">
        <f t="shared" si="3"/>
        <v>-1.939276609770646E-2</v>
      </c>
      <c r="F109" s="161">
        <v>1600.61</v>
      </c>
      <c r="G109" s="94">
        <f t="shared" si="4"/>
        <v>-2.6434397562147605E-2</v>
      </c>
      <c r="J109" s="264">
        <v>166.15</v>
      </c>
      <c r="K109" s="94">
        <f t="shared" si="5"/>
        <v>-1.353678085851695E-2</v>
      </c>
    </row>
    <row r="110" spans="2:11" x14ac:dyDescent="0.25">
      <c r="B110" s="263">
        <v>44567</v>
      </c>
      <c r="C110" s="162">
        <v>4696.05</v>
      </c>
      <c r="D110" s="94">
        <f t="shared" si="3"/>
        <v>-9.6371086121282978E-4</v>
      </c>
      <c r="F110" s="161">
        <v>1595.36</v>
      </c>
      <c r="G110" s="94">
        <f t="shared" si="4"/>
        <v>-3.2799995001905335E-3</v>
      </c>
      <c r="J110" s="264">
        <v>171.15</v>
      </c>
      <c r="K110" s="94">
        <f t="shared" si="5"/>
        <v>3.009328919650911E-2</v>
      </c>
    </row>
    <row r="111" spans="2:11" x14ac:dyDescent="0.25">
      <c r="B111" s="263">
        <v>44568</v>
      </c>
      <c r="C111" s="162">
        <v>4677.03</v>
      </c>
      <c r="D111" s="94">
        <f t="shared" si="3"/>
        <v>-4.0502124125595396E-3</v>
      </c>
      <c r="F111" s="161">
        <v>1569.02</v>
      </c>
      <c r="G111" s="94">
        <f t="shared" si="4"/>
        <v>-1.6510380102296662E-2</v>
      </c>
      <c r="J111" s="264">
        <v>163.75</v>
      </c>
      <c r="K111" s="94">
        <f t="shared" si="5"/>
        <v>-4.3236926672509557E-2</v>
      </c>
    </row>
    <row r="112" spans="2:11" x14ac:dyDescent="0.25">
      <c r="B112" s="263">
        <v>44571</v>
      </c>
      <c r="C112" s="162">
        <v>4670.29</v>
      </c>
      <c r="D112" s="94">
        <f t="shared" si="3"/>
        <v>-1.4410854751839564E-3</v>
      </c>
      <c r="F112" s="161">
        <v>1559.68</v>
      </c>
      <c r="G112" s="94">
        <f t="shared" si="4"/>
        <v>-5.9527603217294223E-3</v>
      </c>
      <c r="J112" s="264">
        <v>159.94999999999999</v>
      </c>
      <c r="K112" s="94">
        <f t="shared" si="5"/>
        <v>-2.320610687022906E-2</v>
      </c>
    </row>
    <row r="113" spans="2:11" x14ac:dyDescent="0.25">
      <c r="B113" s="263">
        <v>44572</v>
      </c>
      <c r="C113" s="162">
        <v>4713.07</v>
      </c>
      <c r="D113" s="94">
        <f t="shared" si="3"/>
        <v>9.1600307475552256E-3</v>
      </c>
      <c r="F113" s="161">
        <v>1575.82</v>
      </c>
      <c r="G113" s="94">
        <f t="shared" si="4"/>
        <v>1.0348276569552617E-2</v>
      </c>
      <c r="J113" s="264">
        <v>163.38999999999999</v>
      </c>
      <c r="K113" s="94">
        <f t="shared" si="5"/>
        <v>2.1506720850265726E-2</v>
      </c>
    </row>
    <row r="114" spans="2:11" x14ac:dyDescent="0.25">
      <c r="B114" s="263">
        <v>44573</v>
      </c>
      <c r="C114" s="162">
        <v>4726.3500000000004</v>
      </c>
      <c r="D114" s="94">
        <f t="shared" si="3"/>
        <v>2.8176963210817529E-3</v>
      </c>
      <c r="F114" s="161">
        <v>1585.81</v>
      </c>
      <c r="G114" s="94">
        <f t="shared" si="4"/>
        <v>6.3395565483368443E-3</v>
      </c>
      <c r="J114" s="264">
        <v>160.87</v>
      </c>
      <c r="K114" s="94">
        <f t="shared" si="5"/>
        <v>-1.5423220515331293E-2</v>
      </c>
    </row>
    <row r="115" spans="2:11" x14ac:dyDescent="0.25">
      <c r="B115" s="263">
        <v>44574</v>
      </c>
      <c r="C115" s="162">
        <v>4659.03</v>
      </c>
      <c r="D115" s="94">
        <f t="shared" si="3"/>
        <v>-1.4243549462058636E-2</v>
      </c>
      <c r="F115" s="161">
        <v>1552.86</v>
      </c>
      <c r="G115" s="94">
        <f t="shared" si="4"/>
        <v>-2.0778025110196108E-2</v>
      </c>
      <c r="J115" s="264">
        <v>155.13999999999999</v>
      </c>
      <c r="K115" s="94">
        <f t="shared" si="5"/>
        <v>-3.5618822651830806E-2</v>
      </c>
    </row>
    <row r="116" spans="2:11" x14ac:dyDescent="0.25">
      <c r="B116" s="263">
        <v>44575</v>
      </c>
      <c r="C116" s="162">
        <v>4662.8500000000004</v>
      </c>
      <c r="D116" s="94">
        <f t="shared" si="3"/>
        <v>8.1991315788920716E-4</v>
      </c>
      <c r="F116" s="161">
        <v>1545.9</v>
      </c>
      <c r="G116" s="94">
        <f t="shared" si="4"/>
        <v>-4.4820524709244802E-3</v>
      </c>
      <c r="J116" s="264">
        <v>155</v>
      </c>
      <c r="K116" s="94">
        <f t="shared" si="5"/>
        <v>-9.0241072579599901E-4</v>
      </c>
    </row>
    <row r="117" spans="2:11" x14ac:dyDescent="0.25">
      <c r="B117" s="263">
        <v>44579</v>
      </c>
      <c r="C117" s="162">
        <v>4577.1099999999997</v>
      </c>
      <c r="D117" s="94">
        <f t="shared" si="3"/>
        <v>-1.8387895814791499E-2</v>
      </c>
      <c r="F117" s="161">
        <v>1516.22</v>
      </c>
      <c r="G117" s="94">
        <f t="shared" si="4"/>
        <v>-1.919917200336374E-2</v>
      </c>
      <c r="J117" s="264">
        <v>145.19</v>
      </c>
      <c r="K117" s="94">
        <f t="shared" si="5"/>
        <v>-6.3290322580645153E-2</v>
      </c>
    </row>
    <row r="118" spans="2:11" x14ac:dyDescent="0.25">
      <c r="B118" s="263">
        <v>44580</v>
      </c>
      <c r="C118" s="162">
        <v>4532.76</v>
      </c>
      <c r="D118" s="94">
        <f t="shared" si="3"/>
        <v>-9.6895202431227512E-3</v>
      </c>
      <c r="F118" s="161">
        <v>1488.84</v>
      </c>
      <c r="G118" s="94">
        <f t="shared" si="4"/>
        <v>-1.8058065452243199E-2</v>
      </c>
      <c r="J118" s="264">
        <v>145.22999999999999</v>
      </c>
      <c r="K118" s="94">
        <f t="shared" si="5"/>
        <v>2.7550106756657478E-4</v>
      </c>
    </row>
    <row r="119" spans="2:11" x14ac:dyDescent="0.25">
      <c r="B119" s="263">
        <v>44581</v>
      </c>
      <c r="C119" s="162">
        <v>4482.7299999999996</v>
      </c>
      <c r="D119" s="94">
        <f t="shared" si="3"/>
        <v>-1.103742532143781E-2</v>
      </c>
      <c r="F119" s="161">
        <v>1459.92</v>
      </c>
      <c r="G119" s="94">
        <f t="shared" si="4"/>
        <v>-1.9424518417022529E-2</v>
      </c>
      <c r="J119" s="264">
        <v>139.86000000000001</v>
      </c>
      <c r="K119" s="94">
        <f t="shared" si="5"/>
        <v>-3.6975831439785001E-2</v>
      </c>
    </row>
    <row r="120" spans="2:11" x14ac:dyDescent="0.25">
      <c r="B120" s="263">
        <v>44582</v>
      </c>
      <c r="C120" s="162">
        <v>4397.9399999999996</v>
      </c>
      <c r="D120" s="94">
        <f t="shared" si="3"/>
        <v>-1.8914813071498782E-2</v>
      </c>
      <c r="F120" s="161">
        <v>1414.67</v>
      </c>
      <c r="G120" s="94">
        <f t="shared" si="4"/>
        <v>-3.0994849032823679E-2</v>
      </c>
      <c r="J120" s="264">
        <v>141.80000000000001</v>
      </c>
      <c r="K120" s="94">
        <f t="shared" si="5"/>
        <v>1.387101387101386E-2</v>
      </c>
    </row>
    <row r="121" spans="2:11" x14ac:dyDescent="0.25">
      <c r="B121" s="263">
        <v>44585</v>
      </c>
      <c r="C121" s="162">
        <v>4410.13</v>
      </c>
      <c r="D121" s="94">
        <f t="shared" si="3"/>
        <v>2.7717522294530283E-3</v>
      </c>
      <c r="F121" s="161">
        <v>1431.83</v>
      </c>
      <c r="G121" s="94">
        <f t="shared" si="4"/>
        <v>1.2130037393879745E-2</v>
      </c>
      <c r="J121" s="264">
        <v>146.77000000000001</v>
      </c>
      <c r="K121" s="94">
        <f t="shared" si="5"/>
        <v>3.5049365303243984E-2</v>
      </c>
    </row>
    <row r="122" spans="2:11" x14ac:dyDescent="0.25">
      <c r="B122" s="263">
        <v>44586</v>
      </c>
      <c r="C122" s="162">
        <v>4356.45</v>
      </c>
      <c r="D122" s="94">
        <f t="shared" si="3"/>
        <v>-1.2171976789799865E-2</v>
      </c>
      <c r="F122" s="161">
        <v>1405.9</v>
      </c>
      <c r="G122" s="94">
        <f t="shared" si="4"/>
        <v>-1.8109691793020022E-2</v>
      </c>
      <c r="J122" s="264">
        <v>147.72</v>
      </c>
      <c r="K122" s="94">
        <f t="shared" si="5"/>
        <v>6.4727124071675135E-3</v>
      </c>
    </row>
    <row r="123" spans="2:11" x14ac:dyDescent="0.25">
      <c r="B123" s="263">
        <v>44587</v>
      </c>
      <c r="C123" s="162">
        <v>4349.93</v>
      </c>
      <c r="D123" s="94">
        <f t="shared" si="3"/>
        <v>-1.4966314315554285E-3</v>
      </c>
      <c r="F123" s="161">
        <v>1401.35</v>
      </c>
      <c r="G123" s="94">
        <f t="shared" si="4"/>
        <v>-3.2363610498614692E-3</v>
      </c>
      <c r="J123" s="264">
        <v>144.79</v>
      </c>
      <c r="K123" s="94">
        <f t="shared" si="5"/>
        <v>-1.98348226374222E-2</v>
      </c>
    </row>
    <row r="124" spans="2:11" x14ac:dyDescent="0.25">
      <c r="B124" s="263">
        <v>44588</v>
      </c>
      <c r="C124" s="162">
        <v>4326.51</v>
      </c>
      <c r="D124" s="94">
        <f t="shared" si="3"/>
        <v>-5.3839946849719711E-3</v>
      </c>
      <c r="F124" s="161">
        <v>1369.52</v>
      </c>
      <c r="G124" s="94">
        <f t="shared" si="4"/>
        <v>-2.2713811681592699E-2</v>
      </c>
      <c r="J124" s="264">
        <v>143.96</v>
      </c>
      <c r="K124" s="94">
        <f t="shared" si="5"/>
        <v>-5.7324400856411106E-3</v>
      </c>
    </row>
    <row r="125" spans="2:11" x14ac:dyDescent="0.25">
      <c r="B125" s="263">
        <v>44589</v>
      </c>
      <c r="C125" s="162">
        <v>4431.8500000000004</v>
      </c>
      <c r="D125" s="94">
        <f t="shared" si="3"/>
        <v>2.4347568825681787E-2</v>
      </c>
      <c r="F125" s="161">
        <v>1401.07</v>
      </c>
      <c r="G125" s="94">
        <f t="shared" si="4"/>
        <v>2.3037268532040356E-2</v>
      </c>
      <c r="J125" s="264">
        <v>150.55000000000001</v>
      </c>
      <c r="K125" s="94">
        <f t="shared" si="5"/>
        <v>4.5776604612392413E-2</v>
      </c>
    </row>
    <row r="126" spans="2:11" x14ac:dyDescent="0.25">
      <c r="B126" s="263">
        <v>44592</v>
      </c>
      <c r="C126" s="162">
        <v>4515.55</v>
      </c>
      <c r="D126" s="94">
        <f t="shared" si="3"/>
        <v>1.8886018254227865E-2</v>
      </c>
      <c r="F126" s="161">
        <v>1454.45</v>
      </c>
      <c r="G126" s="94">
        <f t="shared" si="4"/>
        <v>3.8099452561256797E-2</v>
      </c>
      <c r="J126" s="264">
        <v>153.25</v>
      </c>
      <c r="K126" s="94">
        <f t="shared" si="5"/>
        <v>1.7934241115908245E-2</v>
      </c>
    </row>
    <row r="127" spans="2:11" x14ac:dyDescent="0.25">
      <c r="B127" s="263">
        <v>44593</v>
      </c>
      <c r="C127" s="162">
        <v>4546.54</v>
      </c>
      <c r="D127" s="94">
        <f t="shared" si="3"/>
        <v>6.8629513569775646E-3</v>
      </c>
      <c r="F127" s="161">
        <v>1463.56</v>
      </c>
      <c r="G127" s="94">
        <f t="shared" si="4"/>
        <v>6.2635360445528754E-3</v>
      </c>
      <c r="J127" s="264">
        <v>156.55000000000001</v>
      </c>
      <c r="K127" s="94">
        <f t="shared" si="5"/>
        <v>2.1533442088091492E-2</v>
      </c>
    </row>
    <row r="128" spans="2:11" x14ac:dyDescent="0.25">
      <c r="B128" s="263">
        <v>44594</v>
      </c>
      <c r="C128" s="162">
        <v>4589.38</v>
      </c>
      <c r="D128" s="94">
        <f t="shared" si="3"/>
        <v>9.4225498950850639E-3</v>
      </c>
      <c r="F128" s="161">
        <v>1455.87</v>
      </c>
      <c r="G128" s="94">
        <f t="shared" si="4"/>
        <v>-5.254311405067158E-3</v>
      </c>
      <c r="J128" s="264">
        <v>153.41</v>
      </c>
      <c r="K128" s="94">
        <f t="shared" si="5"/>
        <v>-2.0057489619929814E-2</v>
      </c>
    </row>
    <row r="129" spans="2:11" x14ac:dyDescent="0.25">
      <c r="B129" s="263">
        <v>44595</v>
      </c>
      <c r="C129" s="162">
        <v>4477.4399999999996</v>
      </c>
      <c r="D129" s="94">
        <f t="shared" si="3"/>
        <v>-2.4391094221877574E-2</v>
      </c>
      <c r="F129" s="161">
        <v>1403.89</v>
      </c>
      <c r="G129" s="94">
        <f t="shared" si="4"/>
        <v>-3.5703737284235371E-2</v>
      </c>
      <c r="J129" s="264">
        <v>150.36000000000001</v>
      </c>
      <c r="K129" s="94">
        <f t="shared" si="5"/>
        <v>-1.9881363665993024E-2</v>
      </c>
    </row>
    <row r="130" spans="2:11" x14ac:dyDescent="0.25">
      <c r="B130" s="263">
        <v>44596</v>
      </c>
      <c r="C130" s="162">
        <v>4500.53</v>
      </c>
      <c r="D130" s="94">
        <f t="shared" si="3"/>
        <v>5.156964694110977E-3</v>
      </c>
      <c r="F130" s="161">
        <v>1456.33</v>
      </c>
      <c r="G130" s="94">
        <f t="shared" si="4"/>
        <v>3.7353353895248187E-2</v>
      </c>
      <c r="J130" s="264">
        <v>149.34</v>
      </c>
      <c r="K130" s="94">
        <f t="shared" si="5"/>
        <v>-6.7837190742219278E-3</v>
      </c>
    </row>
    <row r="131" spans="2:11" x14ac:dyDescent="0.25">
      <c r="B131" s="263">
        <v>44599</v>
      </c>
      <c r="C131" s="162">
        <v>4483.87</v>
      </c>
      <c r="D131" s="94">
        <f t="shared" si="3"/>
        <v>-3.701786234065696E-3</v>
      </c>
      <c r="F131" s="161">
        <v>1453.17</v>
      </c>
      <c r="G131" s="94">
        <f t="shared" si="4"/>
        <v>-2.1698378801506824E-3</v>
      </c>
      <c r="J131" s="264">
        <v>148.43</v>
      </c>
      <c r="K131" s="94">
        <f t="shared" si="5"/>
        <v>-6.093477969733474E-3</v>
      </c>
    </row>
    <row r="132" spans="2:11" x14ac:dyDescent="0.25">
      <c r="B132" s="263">
        <v>44600</v>
      </c>
      <c r="C132" s="162">
        <v>4521.54</v>
      </c>
      <c r="D132" s="94">
        <f t="shared" si="3"/>
        <v>8.4012248347966612E-3</v>
      </c>
      <c r="F132" s="161">
        <v>1474.98</v>
      </c>
      <c r="G132" s="94">
        <f t="shared" si="4"/>
        <v>1.5008567476620049E-2</v>
      </c>
      <c r="J132" s="264">
        <v>148.87</v>
      </c>
      <c r="K132" s="94">
        <f t="shared" si="5"/>
        <v>2.9643603045206302E-3</v>
      </c>
    </row>
    <row r="133" spans="2:11" x14ac:dyDescent="0.25">
      <c r="B133" s="263">
        <v>44601</v>
      </c>
      <c r="C133" s="162">
        <v>4587.18</v>
      </c>
      <c r="D133" s="94">
        <f t="shared" si="3"/>
        <v>1.4517177775713597E-2</v>
      </c>
      <c r="F133" s="161">
        <v>1491.38</v>
      </c>
      <c r="G133" s="94">
        <f t="shared" si="4"/>
        <v>1.1118794831116441E-2</v>
      </c>
      <c r="J133" s="264">
        <v>154.03</v>
      </c>
      <c r="K133" s="94">
        <f t="shared" si="5"/>
        <v>3.4661113723382764E-2</v>
      </c>
    </row>
    <row r="134" spans="2:11" x14ac:dyDescent="0.25">
      <c r="B134" s="263">
        <v>44602</v>
      </c>
      <c r="C134" s="162">
        <v>4504.08</v>
      </c>
      <c r="D134" s="94">
        <f t="shared" si="3"/>
        <v>-1.8115705073705524E-2</v>
      </c>
      <c r="F134" s="161">
        <v>1464.9</v>
      </c>
      <c r="G134" s="94">
        <f t="shared" si="4"/>
        <v>-1.7755367511968823E-2</v>
      </c>
      <c r="J134" s="264">
        <v>152.13</v>
      </c>
      <c r="K134" s="94">
        <f t="shared" si="5"/>
        <v>-1.2335259365058748E-2</v>
      </c>
    </row>
    <row r="135" spans="2:11" x14ac:dyDescent="0.25">
      <c r="B135" s="263">
        <v>44603</v>
      </c>
      <c r="C135" s="162">
        <v>4418.6400000000003</v>
      </c>
      <c r="D135" s="94">
        <f t="shared" si="3"/>
        <v>-1.89694676826343E-2</v>
      </c>
      <c r="F135" s="161">
        <v>1423.52</v>
      </c>
      <c r="G135" s="94">
        <f t="shared" si="4"/>
        <v>-2.8247661956447567E-2</v>
      </c>
      <c r="J135" s="264">
        <v>153.69999999999999</v>
      </c>
      <c r="K135" s="94">
        <f t="shared" si="5"/>
        <v>1.0320120949188105E-2</v>
      </c>
    </row>
    <row r="136" spans="2:11" x14ac:dyDescent="0.25">
      <c r="B136" s="263">
        <v>44606</v>
      </c>
      <c r="C136" s="162">
        <v>4401.67</v>
      </c>
      <c r="D136" s="94">
        <f t="shared" si="3"/>
        <v>-3.8405482229827426E-3</v>
      </c>
      <c r="F136" s="161">
        <v>1431.81</v>
      </c>
      <c r="G136" s="94">
        <f t="shared" si="4"/>
        <v>5.8235922220972736E-3</v>
      </c>
      <c r="J136" s="264">
        <v>156.63999999999999</v>
      </c>
      <c r="K136" s="94">
        <f t="shared" si="5"/>
        <v>1.912817176317505E-2</v>
      </c>
    </row>
    <row r="137" spans="2:11" x14ac:dyDescent="0.25">
      <c r="B137" s="263">
        <v>44607</v>
      </c>
      <c r="C137" s="162">
        <v>4471.07</v>
      </c>
      <c r="D137" s="94">
        <f t="shared" ref="D137:D200" si="6">C137/C136-1</f>
        <v>1.5766743077059386E-2</v>
      </c>
      <c r="F137" s="161">
        <v>1461.56</v>
      </c>
      <c r="G137" s="94">
        <f t="shared" ref="G137:G200" si="7">F137/F136-1</f>
        <v>2.0777896508614946E-2</v>
      </c>
      <c r="J137" s="264">
        <v>157.68</v>
      </c>
      <c r="K137" s="94">
        <f t="shared" si="5"/>
        <v>6.639427987742641E-3</v>
      </c>
    </row>
    <row r="138" spans="2:11" x14ac:dyDescent="0.25">
      <c r="B138" s="263">
        <v>44608</v>
      </c>
      <c r="C138" s="162">
        <v>4475.01</v>
      </c>
      <c r="D138" s="94">
        <f t="shared" si="6"/>
        <v>8.8122082633468324E-4</v>
      </c>
      <c r="F138" s="161">
        <v>1465.45</v>
      </c>
      <c r="G138" s="94">
        <f t="shared" si="7"/>
        <v>2.6615397246778638E-3</v>
      </c>
      <c r="J138" s="264">
        <v>162.66</v>
      </c>
      <c r="K138" s="94">
        <f t="shared" ref="K138:K201" si="8">J138/J137-1</f>
        <v>3.1582952815829568E-2</v>
      </c>
    </row>
    <row r="139" spans="2:11" x14ac:dyDescent="0.25">
      <c r="B139" s="263">
        <v>44609</v>
      </c>
      <c r="C139" s="162">
        <v>4380.26</v>
      </c>
      <c r="D139" s="94">
        <f t="shared" si="6"/>
        <v>-2.1173137043269175E-2</v>
      </c>
      <c r="F139" s="161">
        <v>1427.8</v>
      </c>
      <c r="G139" s="94">
        <f t="shared" si="7"/>
        <v>-2.5691767034016877E-2</v>
      </c>
      <c r="J139" s="264">
        <v>155.26</v>
      </c>
      <c r="K139" s="94">
        <f t="shared" si="8"/>
        <v>-4.5493667773269464E-2</v>
      </c>
    </row>
    <row r="140" spans="2:11" x14ac:dyDescent="0.25">
      <c r="B140" s="263">
        <v>44610</v>
      </c>
      <c r="C140" s="162">
        <v>4348.87</v>
      </c>
      <c r="D140" s="94">
        <f t="shared" si="6"/>
        <v>-7.1662412733491943E-3</v>
      </c>
      <c r="F140" s="161">
        <v>1417.74</v>
      </c>
      <c r="G140" s="94">
        <f t="shared" si="7"/>
        <v>-7.0458047345566266E-3</v>
      </c>
      <c r="J140" s="264">
        <v>150.30000000000001</v>
      </c>
      <c r="K140" s="94">
        <f t="shared" si="8"/>
        <v>-3.1946412469405994E-2</v>
      </c>
    </row>
    <row r="141" spans="2:11" x14ac:dyDescent="0.25">
      <c r="B141" s="263">
        <v>44614</v>
      </c>
      <c r="C141" s="162">
        <v>4304.76</v>
      </c>
      <c r="D141" s="94">
        <f t="shared" si="6"/>
        <v>-1.0142864698185927E-2</v>
      </c>
      <c r="F141" s="161">
        <v>1374.62</v>
      </c>
      <c r="G141" s="94">
        <f t="shared" si="7"/>
        <v>-3.0414603523918449E-2</v>
      </c>
      <c r="J141" s="264">
        <v>145.13</v>
      </c>
      <c r="K141" s="94">
        <f t="shared" si="8"/>
        <v>-3.4397870924817164E-2</v>
      </c>
    </row>
    <row r="142" spans="2:11" x14ac:dyDescent="0.25">
      <c r="B142" s="263">
        <v>44615</v>
      </c>
      <c r="C142" s="162">
        <v>4225.5</v>
      </c>
      <c r="D142" s="94">
        <f t="shared" si="6"/>
        <v>-1.8412176288573612E-2</v>
      </c>
      <c r="F142" s="161">
        <v>1327.63</v>
      </c>
      <c r="G142" s="94">
        <f t="shared" si="7"/>
        <v>-3.4183992667064178E-2</v>
      </c>
      <c r="J142" s="264">
        <v>139.35</v>
      </c>
      <c r="K142" s="94">
        <f t="shared" si="8"/>
        <v>-3.9826362571487639E-2</v>
      </c>
    </row>
    <row r="143" spans="2:11" x14ac:dyDescent="0.25">
      <c r="B143" s="263">
        <v>44616</v>
      </c>
      <c r="C143" s="162">
        <v>4288.7</v>
      </c>
      <c r="D143" s="94">
        <f t="shared" si="6"/>
        <v>1.4956809844988816E-2</v>
      </c>
      <c r="F143" s="161">
        <v>1361.39</v>
      </c>
      <c r="G143" s="94">
        <f t="shared" si="7"/>
        <v>2.542877157039225E-2</v>
      </c>
      <c r="J143" s="264">
        <v>139.12</v>
      </c>
      <c r="K143" s="94">
        <f t="shared" si="8"/>
        <v>-1.6505202726946333E-3</v>
      </c>
    </row>
    <row r="144" spans="2:11" x14ac:dyDescent="0.25">
      <c r="B144" s="263">
        <v>44617</v>
      </c>
      <c r="C144" s="162">
        <v>4384.6499999999996</v>
      </c>
      <c r="D144" s="94">
        <f t="shared" si="6"/>
        <v>2.2372746986266234E-2</v>
      </c>
      <c r="F144" s="161">
        <v>1387.08</v>
      </c>
      <c r="G144" s="94">
        <f t="shared" si="7"/>
        <v>1.8870419203901756E-2</v>
      </c>
      <c r="J144" s="264">
        <v>140.08000000000001</v>
      </c>
      <c r="K144" s="94">
        <f t="shared" si="8"/>
        <v>6.9005175388154871E-3</v>
      </c>
    </row>
    <row r="145" spans="2:11" x14ac:dyDescent="0.25">
      <c r="B145" s="263">
        <v>44620</v>
      </c>
      <c r="C145" s="162">
        <v>4373.9399999999996</v>
      </c>
      <c r="D145" s="94">
        <f t="shared" si="6"/>
        <v>-2.4426122951660689E-3</v>
      </c>
      <c r="F145" s="161">
        <v>1395.46</v>
      </c>
      <c r="G145" s="94">
        <f t="shared" si="7"/>
        <v>6.0414684084553194E-3</v>
      </c>
      <c r="J145" s="264">
        <v>145.35</v>
      </c>
      <c r="K145" s="94">
        <f t="shared" si="8"/>
        <v>3.7621359223300788E-2</v>
      </c>
    </row>
    <row r="146" spans="2:11" x14ac:dyDescent="0.25">
      <c r="B146" s="263">
        <v>44621</v>
      </c>
      <c r="C146" s="162">
        <v>4306.26</v>
      </c>
      <c r="D146" s="94">
        <f t="shared" si="6"/>
        <v>-1.5473463284818578E-2</v>
      </c>
      <c r="F146" s="161">
        <v>1376.75</v>
      </c>
      <c r="G146" s="94">
        <f t="shared" si="7"/>
        <v>-1.3407765181373876E-2</v>
      </c>
      <c r="J146" s="264">
        <v>146.82</v>
      </c>
      <c r="K146" s="94">
        <f t="shared" si="8"/>
        <v>1.0113519091847323E-2</v>
      </c>
    </row>
    <row r="147" spans="2:11" x14ac:dyDescent="0.25">
      <c r="B147" s="263">
        <v>44622</v>
      </c>
      <c r="C147" s="162">
        <v>4386.54</v>
      </c>
      <c r="D147" s="94">
        <f t="shared" si="6"/>
        <v>1.8642627244987553E-2</v>
      </c>
      <c r="F147" s="161">
        <v>1403.51</v>
      </c>
      <c r="G147" s="94">
        <f t="shared" si="7"/>
        <v>1.9437080079898195E-2</v>
      </c>
      <c r="J147" s="264">
        <v>144.94</v>
      </c>
      <c r="K147" s="94">
        <f t="shared" si="8"/>
        <v>-1.2804794987058998E-2</v>
      </c>
    </row>
    <row r="148" spans="2:11" x14ac:dyDescent="0.25">
      <c r="B148" s="263">
        <v>44623</v>
      </c>
      <c r="C148" s="162">
        <v>4363.49</v>
      </c>
      <c r="D148" s="94">
        <f t="shared" si="6"/>
        <v>-5.2547110022934662E-3</v>
      </c>
      <c r="F148" s="161">
        <v>1371.33</v>
      </c>
      <c r="G148" s="94">
        <f t="shared" si="7"/>
        <v>-2.2928229937798861E-2</v>
      </c>
      <c r="J148" s="264">
        <v>138.18</v>
      </c>
      <c r="K148" s="94">
        <f t="shared" si="8"/>
        <v>-4.6639988960949341E-2</v>
      </c>
    </row>
    <row r="149" spans="2:11" x14ac:dyDescent="0.25">
      <c r="B149" s="263">
        <v>44624</v>
      </c>
      <c r="C149" s="162">
        <v>4328.87</v>
      </c>
      <c r="D149" s="94">
        <f t="shared" si="6"/>
        <v>-7.93401612012401E-3</v>
      </c>
      <c r="F149" s="161">
        <v>1350.6</v>
      </c>
      <c r="G149" s="94">
        <f t="shared" si="7"/>
        <v>-1.5116711513640024E-2</v>
      </c>
      <c r="J149" s="264">
        <v>136.97</v>
      </c>
      <c r="K149" s="94">
        <f t="shared" si="8"/>
        <v>-8.7566941670286225E-3</v>
      </c>
    </row>
    <row r="150" spans="2:11" x14ac:dyDescent="0.25">
      <c r="B150" s="263">
        <v>44627</v>
      </c>
      <c r="C150" s="162">
        <v>4201.09</v>
      </c>
      <c r="D150" s="94">
        <f t="shared" si="6"/>
        <v>-2.9518095946517109E-2</v>
      </c>
      <c r="F150" s="161">
        <v>1285.79</v>
      </c>
      <c r="G150" s="94">
        <f t="shared" si="7"/>
        <v>-4.7986080260624897E-2</v>
      </c>
      <c r="J150" s="264">
        <v>126.32</v>
      </c>
      <c r="K150" s="94">
        <f t="shared" si="8"/>
        <v>-7.7754252756078057E-2</v>
      </c>
    </row>
    <row r="151" spans="2:11" x14ac:dyDescent="0.25">
      <c r="B151" s="263">
        <v>44628</v>
      </c>
      <c r="C151" s="162">
        <v>4170.7</v>
      </c>
      <c r="D151" s="94">
        <f t="shared" si="6"/>
        <v>-7.2338369327961116E-3</v>
      </c>
      <c r="F151" s="161">
        <v>1286.51</v>
      </c>
      <c r="G151" s="94">
        <f t="shared" si="7"/>
        <v>5.5996702416405419E-4</v>
      </c>
      <c r="J151" s="264">
        <v>129.16999999999999</v>
      </c>
      <c r="K151" s="94">
        <f t="shared" si="8"/>
        <v>2.2561747941735266E-2</v>
      </c>
    </row>
    <row r="152" spans="2:11" x14ac:dyDescent="0.25">
      <c r="B152" s="263">
        <v>44629</v>
      </c>
      <c r="C152" s="162">
        <v>4277.88</v>
      </c>
      <c r="D152" s="94">
        <f t="shared" si="6"/>
        <v>2.5698324022346508E-2</v>
      </c>
      <c r="F152" s="161">
        <v>1324.23</v>
      </c>
      <c r="G152" s="94">
        <f t="shared" si="7"/>
        <v>2.9319632183193223E-2</v>
      </c>
      <c r="J152" s="264">
        <v>133.72</v>
      </c>
      <c r="K152" s="94">
        <f t="shared" si="8"/>
        <v>3.5224897422002188E-2</v>
      </c>
    </row>
    <row r="153" spans="2:11" x14ac:dyDescent="0.25">
      <c r="B153" s="263">
        <v>44630</v>
      </c>
      <c r="C153" s="162">
        <v>4259.5200000000004</v>
      </c>
      <c r="D153" s="94">
        <f t="shared" si="6"/>
        <v>-4.2918454935622075E-3</v>
      </c>
      <c r="F153" s="161">
        <v>1339.59</v>
      </c>
      <c r="G153" s="94">
        <f t="shared" si="7"/>
        <v>1.1599193493577298E-2</v>
      </c>
      <c r="J153" s="264">
        <v>126.7</v>
      </c>
      <c r="K153" s="94">
        <f t="shared" si="8"/>
        <v>-5.2497756506132198E-2</v>
      </c>
    </row>
    <row r="154" spans="2:11" x14ac:dyDescent="0.25">
      <c r="B154" s="263">
        <v>44631</v>
      </c>
      <c r="C154" s="162">
        <v>4204.3100000000004</v>
      </c>
      <c r="D154" s="94">
        <f t="shared" si="6"/>
        <v>-1.2961554353542182E-2</v>
      </c>
      <c r="F154" s="161">
        <v>1315.58</v>
      </c>
      <c r="G154" s="94">
        <f t="shared" si="7"/>
        <v>-1.7923394471442755E-2</v>
      </c>
      <c r="J154" s="264">
        <v>123.05</v>
      </c>
      <c r="K154" s="94">
        <f t="shared" si="8"/>
        <v>-2.8808208366219445E-2</v>
      </c>
    </row>
    <row r="155" spans="2:11" x14ac:dyDescent="0.25">
      <c r="B155" s="263">
        <v>44634</v>
      </c>
      <c r="C155" s="162">
        <v>4173.1099999999997</v>
      </c>
      <c r="D155" s="94">
        <f t="shared" si="6"/>
        <v>-7.4209561140831104E-3</v>
      </c>
      <c r="F155" s="161">
        <v>1292.55</v>
      </c>
      <c r="G155" s="94">
        <f t="shared" si="7"/>
        <v>-1.7505586889432823E-2</v>
      </c>
      <c r="J155" s="264">
        <v>116.9</v>
      </c>
      <c r="K155" s="94">
        <f t="shared" si="8"/>
        <v>-4.9979683055668356E-2</v>
      </c>
    </row>
    <row r="156" spans="2:11" x14ac:dyDescent="0.25">
      <c r="B156" s="263">
        <v>44635</v>
      </c>
      <c r="C156" s="162">
        <v>4262.45</v>
      </c>
      <c r="D156" s="94">
        <f t="shared" si="6"/>
        <v>2.1408493905025416E-2</v>
      </c>
      <c r="F156" s="161">
        <v>1336.34</v>
      </c>
      <c r="G156" s="94">
        <f t="shared" si="7"/>
        <v>3.3878766778848046E-2</v>
      </c>
      <c r="J156" s="264">
        <v>113.24</v>
      </c>
      <c r="K156" s="94">
        <f t="shared" si="8"/>
        <v>-3.1308810949529642E-2</v>
      </c>
    </row>
    <row r="157" spans="2:11" x14ac:dyDescent="0.25">
      <c r="B157" s="263">
        <v>44636</v>
      </c>
      <c r="C157" s="162">
        <v>4357.8599999999997</v>
      </c>
      <c r="D157" s="94">
        <f t="shared" si="6"/>
        <v>2.2383840279651235E-2</v>
      </c>
      <c r="F157" s="161">
        <v>1381.12</v>
      </c>
      <c r="G157" s="94">
        <f t="shared" si="7"/>
        <v>3.3509436221320854E-2</v>
      </c>
      <c r="J157" s="264">
        <v>123.41</v>
      </c>
      <c r="K157" s="94">
        <f t="shared" si="8"/>
        <v>8.9809254680325079E-2</v>
      </c>
    </row>
    <row r="158" spans="2:11" x14ac:dyDescent="0.25">
      <c r="B158" s="263">
        <v>44637</v>
      </c>
      <c r="C158" s="162">
        <v>4411.67</v>
      </c>
      <c r="D158" s="94">
        <f t="shared" si="6"/>
        <v>1.2347803738532281E-2</v>
      </c>
      <c r="F158" s="161">
        <v>1406.86</v>
      </c>
      <c r="G158" s="94">
        <f t="shared" si="7"/>
        <v>1.8637048192771122E-2</v>
      </c>
      <c r="J158" s="264">
        <v>121.14</v>
      </c>
      <c r="K158" s="94">
        <f t="shared" si="8"/>
        <v>-1.8393971315128432E-2</v>
      </c>
    </row>
    <row r="159" spans="2:11" x14ac:dyDescent="0.25">
      <c r="B159" s="263">
        <v>44638</v>
      </c>
      <c r="C159" s="162">
        <v>4463.12</v>
      </c>
      <c r="D159" s="94">
        <f t="shared" si="6"/>
        <v>1.1662250349640857E-2</v>
      </c>
      <c r="F159" s="161">
        <v>1437.52</v>
      </c>
      <c r="G159" s="94">
        <f t="shared" si="7"/>
        <v>2.1793213255050237E-2</v>
      </c>
      <c r="J159" s="264">
        <v>121.05</v>
      </c>
      <c r="K159" s="94">
        <f t="shared" si="8"/>
        <v>-7.429420505200568E-4</v>
      </c>
    </row>
    <row r="160" spans="2:11" x14ac:dyDescent="0.25">
      <c r="B160" s="263">
        <v>44641</v>
      </c>
      <c r="C160" s="162">
        <v>4461.18</v>
      </c>
      <c r="D160" s="94">
        <f t="shared" si="6"/>
        <v>-4.3467350194470455E-4</v>
      </c>
      <c r="F160" s="161">
        <v>1426.62</v>
      </c>
      <c r="G160" s="94">
        <f t="shared" si="7"/>
        <v>-7.5825031999555703E-3</v>
      </c>
      <c r="J160" s="264">
        <v>117.19</v>
      </c>
      <c r="K160" s="94">
        <f t="shared" si="8"/>
        <v>-3.1887649731515921E-2</v>
      </c>
    </row>
    <row r="161" spans="2:11" x14ac:dyDescent="0.25">
      <c r="B161" s="263">
        <v>44642</v>
      </c>
      <c r="C161" s="162">
        <v>4511.6099999999997</v>
      </c>
      <c r="D161" s="94">
        <f t="shared" si="6"/>
        <v>1.1304184094790948E-2</v>
      </c>
      <c r="F161" s="161">
        <v>1461.51</v>
      </c>
      <c r="G161" s="94">
        <f t="shared" si="7"/>
        <v>2.4456407452580375E-2</v>
      </c>
      <c r="J161" s="264">
        <v>118.05</v>
      </c>
      <c r="K161" s="94">
        <f t="shared" si="8"/>
        <v>7.3385101117842133E-3</v>
      </c>
    </row>
    <row r="162" spans="2:11" x14ac:dyDescent="0.25">
      <c r="B162" s="263">
        <v>44643</v>
      </c>
      <c r="C162" s="162">
        <v>4456.24</v>
      </c>
      <c r="D162" s="94">
        <f t="shared" si="6"/>
        <v>-1.2272780670315009E-2</v>
      </c>
      <c r="F162" s="161">
        <v>1443.52</v>
      </c>
      <c r="G162" s="94">
        <f t="shared" si="7"/>
        <v>-1.2309187073643035E-2</v>
      </c>
      <c r="J162" s="264">
        <v>112.26</v>
      </c>
      <c r="K162" s="94">
        <f t="shared" si="8"/>
        <v>-4.9047013977128295E-2</v>
      </c>
    </row>
    <row r="163" spans="2:11" x14ac:dyDescent="0.25">
      <c r="B163" s="263">
        <v>44644</v>
      </c>
      <c r="C163" s="162">
        <v>4520.16</v>
      </c>
      <c r="D163" s="94">
        <f t="shared" si="6"/>
        <v>1.4343931206577842E-2</v>
      </c>
      <c r="F163" s="161">
        <v>1454.1</v>
      </c>
      <c r="G163" s="94">
        <f t="shared" si="7"/>
        <v>7.3293061405452775E-3</v>
      </c>
      <c r="J163" s="264">
        <v>112</v>
      </c>
      <c r="K163" s="94">
        <f t="shared" si="8"/>
        <v>-2.3160520220916192E-3</v>
      </c>
    </row>
    <row r="164" spans="2:11" x14ac:dyDescent="0.25">
      <c r="B164" s="263">
        <v>44645</v>
      </c>
      <c r="C164" s="162">
        <v>4543.0600000000004</v>
      </c>
      <c r="D164" s="94">
        <f t="shared" si="6"/>
        <v>5.0661923471737591E-3</v>
      </c>
      <c r="F164" s="161">
        <v>1452.85</v>
      </c>
      <c r="G164" s="94">
        <f t="shared" si="7"/>
        <v>-8.5963826421842082E-4</v>
      </c>
      <c r="J164" s="264">
        <v>108.81</v>
      </c>
      <c r="K164" s="94">
        <f t="shared" si="8"/>
        <v>-2.8482142857142789E-2</v>
      </c>
    </row>
    <row r="165" spans="2:11" x14ac:dyDescent="0.25">
      <c r="B165" s="263">
        <v>44648</v>
      </c>
      <c r="C165" s="162">
        <v>4575.5200000000004</v>
      </c>
      <c r="D165" s="94">
        <f t="shared" si="6"/>
        <v>7.1449639670178033E-3</v>
      </c>
      <c r="F165" s="161">
        <v>1491.67</v>
      </c>
      <c r="G165" s="94">
        <f t="shared" si="7"/>
        <v>2.6719895378050085E-2</v>
      </c>
      <c r="J165" s="264">
        <v>110.8</v>
      </c>
      <c r="K165" s="94">
        <f t="shared" si="8"/>
        <v>1.8288760224244083E-2</v>
      </c>
    </row>
    <row r="166" spans="2:11" x14ac:dyDescent="0.25">
      <c r="B166" s="263">
        <v>44649</v>
      </c>
      <c r="C166" s="162">
        <v>4631.6000000000004</v>
      </c>
      <c r="D166" s="94">
        <f t="shared" si="6"/>
        <v>1.2256530405287291E-2</v>
      </c>
      <c r="F166" s="161">
        <v>1514.67</v>
      </c>
      <c r="G166" s="94">
        <f t="shared" si="7"/>
        <v>1.5418959957631317E-2</v>
      </c>
      <c r="J166" s="264">
        <v>119.68</v>
      </c>
      <c r="K166" s="94">
        <f t="shared" si="8"/>
        <v>8.0144404332129993E-2</v>
      </c>
    </row>
    <row r="167" spans="2:11" x14ac:dyDescent="0.25">
      <c r="B167" s="263">
        <v>44650</v>
      </c>
      <c r="C167" s="162">
        <v>4602.45</v>
      </c>
      <c r="D167" s="94">
        <f t="shared" si="6"/>
        <v>-6.2937213921756552E-3</v>
      </c>
      <c r="F167" s="161">
        <v>1491.74</v>
      </c>
      <c r="G167" s="94">
        <f t="shared" si="7"/>
        <v>-1.5138611050591888E-2</v>
      </c>
      <c r="J167" s="264">
        <v>119.13</v>
      </c>
      <c r="K167" s="94">
        <f t="shared" si="8"/>
        <v>-4.5955882352942679E-3</v>
      </c>
    </row>
    <row r="168" spans="2:11" x14ac:dyDescent="0.25">
      <c r="B168" s="263">
        <v>44651</v>
      </c>
      <c r="C168" s="162">
        <v>4530.41</v>
      </c>
      <c r="D168" s="94">
        <f t="shared" si="6"/>
        <v>-1.5652532890091164E-2</v>
      </c>
      <c r="F168" s="161">
        <v>1462.69</v>
      </c>
      <c r="G168" s="94">
        <f t="shared" si="7"/>
        <v>-1.9473902958960676E-2</v>
      </c>
      <c r="J168" s="264">
        <v>117.35</v>
      </c>
      <c r="K168" s="94">
        <f t="shared" si="8"/>
        <v>-1.4941660371023291E-2</v>
      </c>
    </row>
    <row r="169" spans="2:11" x14ac:dyDescent="0.25">
      <c r="B169" s="263">
        <v>44652</v>
      </c>
      <c r="C169" s="162">
        <v>4545.8599999999997</v>
      </c>
      <c r="D169" s="94">
        <f t="shared" si="6"/>
        <v>3.4102873691344016E-3</v>
      </c>
      <c r="F169" s="161">
        <v>1465.81</v>
      </c>
      <c r="G169" s="94">
        <f t="shared" si="7"/>
        <v>2.1330562183374813E-3</v>
      </c>
      <c r="J169" s="264">
        <v>116.3</v>
      </c>
      <c r="K169" s="94">
        <f t="shared" si="8"/>
        <v>-8.9475926714954745E-3</v>
      </c>
    </row>
    <row r="170" spans="2:11" x14ac:dyDescent="0.25">
      <c r="B170" s="263">
        <v>44655</v>
      </c>
      <c r="C170" s="162">
        <v>4582.6400000000003</v>
      </c>
      <c r="D170" s="94">
        <f t="shared" si="6"/>
        <v>8.0908782936564005E-3</v>
      </c>
      <c r="F170" s="161">
        <v>1499.93</v>
      </c>
      <c r="G170" s="94">
        <f t="shared" si="7"/>
        <v>2.3277232383460467E-2</v>
      </c>
      <c r="J170" s="264">
        <v>115.95</v>
      </c>
      <c r="K170" s="94">
        <f t="shared" si="8"/>
        <v>-3.0094582975064288E-3</v>
      </c>
    </row>
    <row r="171" spans="2:11" x14ac:dyDescent="0.25">
      <c r="B171" s="263">
        <v>44656</v>
      </c>
      <c r="C171" s="162">
        <v>4525.12</v>
      </c>
      <c r="D171" s="94">
        <f t="shared" si="6"/>
        <v>-1.2551716914267819E-2</v>
      </c>
      <c r="F171" s="161">
        <v>1464.66</v>
      </c>
      <c r="G171" s="94">
        <f t="shared" si="7"/>
        <v>-2.3514430673431397E-2</v>
      </c>
      <c r="J171" s="264">
        <v>112.8</v>
      </c>
      <c r="K171" s="94">
        <f t="shared" si="8"/>
        <v>-2.7166882276843496E-2</v>
      </c>
    </row>
    <row r="172" spans="2:11" x14ac:dyDescent="0.25">
      <c r="B172" s="263">
        <v>44657</v>
      </c>
      <c r="C172" s="162">
        <v>4481.1499999999996</v>
      </c>
      <c r="D172" s="94">
        <f t="shared" si="6"/>
        <v>-9.7168693868892042E-3</v>
      </c>
      <c r="F172" s="161">
        <v>1426.11</v>
      </c>
      <c r="G172" s="94">
        <f t="shared" si="7"/>
        <v>-2.6320101593544032E-2</v>
      </c>
      <c r="J172" s="264">
        <v>109.99</v>
      </c>
      <c r="K172" s="94">
        <f t="shared" si="8"/>
        <v>-2.4911347517730498E-2</v>
      </c>
    </row>
    <row r="173" spans="2:11" x14ac:dyDescent="0.25">
      <c r="B173" s="263">
        <v>44658</v>
      </c>
      <c r="C173" s="162">
        <v>4500.21</v>
      </c>
      <c r="D173" s="94">
        <f t="shared" si="6"/>
        <v>4.2533724601945266E-3</v>
      </c>
      <c r="F173" s="161">
        <v>1431.67</v>
      </c>
      <c r="G173" s="94">
        <f t="shared" si="7"/>
        <v>3.8987174902358479E-3</v>
      </c>
      <c r="J173" s="264">
        <v>111.15</v>
      </c>
      <c r="K173" s="94">
        <f t="shared" si="8"/>
        <v>1.0546413310301039E-2</v>
      </c>
    </row>
    <row r="174" spans="2:11" x14ac:dyDescent="0.25">
      <c r="B174" s="263">
        <v>44659</v>
      </c>
      <c r="C174" s="162">
        <v>4488.28</v>
      </c>
      <c r="D174" s="94">
        <f t="shared" si="6"/>
        <v>-2.6509873983658894E-3</v>
      </c>
      <c r="F174" s="161">
        <v>1417.79</v>
      </c>
      <c r="G174" s="94">
        <f t="shared" si="7"/>
        <v>-9.6949716065853897E-3</v>
      </c>
      <c r="J174" s="264">
        <v>111.43</v>
      </c>
      <c r="K174" s="94">
        <f t="shared" si="8"/>
        <v>2.5191183085919722E-3</v>
      </c>
    </row>
    <row r="175" spans="2:11" x14ac:dyDescent="0.25">
      <c r="B175" s="263">
        <v>44662</v>
      </c>
      <c r="C175" s="162">
        <v>4412.53</v>
      </c>
      <c r="D175" s="94">
        <f t="shared" si="6"/>
        <v>-1.6877289295676778E-2</v>
      </c>
      <c r="F175" s="161">
        <v>1390.93</v>
      </c>
      <c r="G175" s="94">
        <f t="shared" si="7"/>
        <v>-1.8944977747056946E-2</v>
      </c>
      <c r="J175" s="264">
        <v>107.2</v>
      </c>
      <c r="K175" s="94">
        <f t="shared" si="8"/>
        <v>-3.7961051781387423E-2</v>
      </c>
    </row>
    <row r="176" spans="2:11" x14ac:dyDescent="0.25">
      <c r="B176" s="263">
        <v>44663</v>
      </c>
      <c r="C176" s="162">
        <v>4397.45</v>
      </c>
      <c r="D176" s="94">
        <f t="shared" si="6"/>
        <v>-3.4175405039739148E-3</v>
      </c>
      <c r="F176" s="161">
        <v>1393.73</v>
      </c>
      <c r="G176" s="94">
        <f t="shared" si="7"/>
        <v>2.0130416340147228E-3</v>
      </c>
      <c r="J176" s="264">
        <v>107.37</v>
      </c>
      <c r="K176" s="94">
        <f t="shared" si="8"/>
        <v>1.585820895522394E-3</v>
      </c>
    </row>
    <row r="177" spans="2:11" x14ac:dyDescent="0.25">
      <c r="B177" s="263">
        <v>44664</v>
      </c>
      <c r="C177" s="162">
        <v>4446.59</v>
      </c>
      <c r="D177" s="94">
        <f t="shared" si="6"/>
        <v>1.1174658040455254E-2</v>
      </c>
      <c r="F177" s="161">
        <v>1428.73</v>
      </c>
      <c r="G177" s="94">
        <f t="shared" si="7"/>
        <v>2.511246798160327E-2</v>
      </c>
      <c r="J177" s="264">
        <v>108.73</v>
      </c>
      <c r="K177" s="94">
        <f t="shared" si="8"/>
        <v>1.2666480394896151E-2</v>
      </c>
    </row>
    <row r="178" spans="2:11" x14ac:dyDescent="0.25">
      <c r="B178" s="263">
        <v>44665</v>
      </c>
      <c r="C178" s="162">
        <v>4392.59</v>
      </c>
      <c r="D178" s="94">
        <f t="shared" si="6"/>
        <v>-1.2144137417661627E-2</v>
      </c>
      <c r="F178" s="161">
        <v>1406.28</v>
      </c>
      <c r="G178" s="94">
        <f t="shared" si="7"/>
        <v>-1.5713255828603057E-2</v>
      </c>
      <c r="J178" s="264">
        <v>101.92</v>
      </c>
      <c r="K178" s="94">
        <f t="shared" si="8"/>
        <v>-6.2632208222201835E-2</v>
      </c>
    </row>
    <row r="179" spans="2:11" x14ac:dyDescent="0.25">
      <c r="B179" s="263">
        <v>44669</v>
      </c>
      <c r="C179" s="162">
        <v>4391.6899999999996</v>
      </c>
      <c r="D179" s="94">
        <f t="shared" si="6"/>
        <v>-2.0489050878880199E-4</v>
      </c>
      <c r="F179" s="161">
        <v>1411.01</v>
      </c>
      <c r="G179" s="94">
        <f t="shared" si="7"/>
        <v>3.3634838012344126E-3</v>
      </c>
      <c r="J179" s="264">
        <v>103.67</v>
      </c>
      <c r="K179" s="94">
        <f t="shared" si="8"/>
        <v>1.7170329670329609E-2</v>
      </c>
    </row>
    <row r="180" spans="2:11" x14ac:dyDescent="0.25">
      <c r="B180" s="263">
        <v>44670</v>
      </c>
      <c r="C180" s="162">
        <v>4462.21</v>
      </c>
      <c r="D180" s="94">
        <f t="shared" si="6"/>
        <v>1.6057599693967584E-2</v>
      </c>
      <c r="F180" s="161">
        <v>1452.09</v>
      </c>
      <c r="G180" s="94">
        <f t="shared" si="7"/>
        <v>2.9113897137511335E-2</v>
      </c>
      <c r="J180" s="264">
        <v>107.95</v>
      </c>
      <c r="K180" s="94">
        <f t="shared" si="8"/>
        <v>4.1284846146426135E-2</v>
      </c>
    </row>
    <row r="181" spans="2:11" x14ac:dyDescent="0.25">
      <c r="B181" s="263">
        <v>44671</v>
      </c>
      <c r="C181" s="162">
        <v>4459.45</v>
      </c>
      <c r="D181" s="94">
        <f t="shared" si="6"/>
        <v>-6.1852759058855789E-4</v>
      </c>
      <c r="F181" s="161">
        <v>1432.4</v>
      </c>
      <c r="G181" s="94">
        <f t="shared" si="7"/>
        <v>-1.3559765579268412E-2</v>
      </c>
      <c r="J181" s="264">
        <v>105.56</v>
      </c>
      <c r="K181" s="94">
        <f t="shared" si="8"/>
        <v>-2.2139879573876753E-2</v>
      </c>
    </row>
    <row r="182" spans="2:11" x14ac:dyDescent="0.25">
      <c r="B182" s="263">
        <v>44672</v>
      </c>
      <c r="C182" s="162">
        <v>4393.66</v>
      </c>
      <c r="D182" s="94">
        <f t="shared" si="6"/>
        <v>-1.475294038502506E-2</v>
      </c>
      <c r="F182" s="161">
        <v>1414.75</v>
      </c>
      <c r="G182" s="94">
        <f t="shared" si="7"/>
        <v>-1.2321977101368398E-2</v>
      </c>
      <c r="J182" s="264">
        <v>101.45</v>
      </c>
      <c r="K182" s="94">
        <f t="shared" si="8"/>
        <v>-3.8935202728306195E-2</v>
      </c>
    </row>
    <row r="183" spans="2:11" x14ac:dyDescent="0.25">
      <c r="B183" s="263">
        <v>44673</v>
      </c>
      <c r="C183" s="162">
        <v>4271.78</v>
      </c>
      <c r="D183" s="94">
        <f t="shared" si="6"/>
        <v>-2.773997077607282E-2</v>
      </c>
      <c r="F183" s="161">
        <v>1381.16</v>
      </c>
      <c r="G183" s="94">
        <f t="shared" si="7"/>
        <v>-2.374271072627665E-2</v>
      </c>
      <c r="J183" s="264">
        <v>99.19</v>
      </c>
      <c r="K183" s="94">
        <f t="shared" si="8"/>
        <v>-2.2276983735830536E-2</v>
      </c>
    </row>
    <row r="184" spans="2:11" x14ac:dyDescent="0.25">
      <c r="B184" s="263">
        <v>44676</v>
      </c>
      <c r="C184" s="162">
        <v>4296.12</v>
      </c>
      <c r="D184" s="94">
        <f t="shared" si="6"/>
        <v>5.6978589721381478E-3</v>
      </c>
      <c r="F184" s="161">
        <v>1391.88</v>
      </c>
      <c r="G184" s="94">
        <f t="shared" si="7"/>
        <v>7.76159170552293E-3</v>
      </c>
      <c r="J184" s="264">
        <v>103</v>
      </c>
      <c r="K184" s="94">
        <f t="shared" si="8"/>
        <v>3.8411130154249351E-2</v>
      </c>
    </row>
    <row r="185" spans="2:11" x14ac:dyDescent="0.25">
      <c r="B185" s="263">
        <v>44677</v>
      </c>
      <c r="C185" s="162">
        <v>4175.2</v>
      </c>
      <c r="D185" s="94">
        <f t="shared" si="6"/>
        <v>-2.8146327383778869E-2</v>
      </c>
      <c r="F185" s="161">
        <v>1322.47</v>
      </c>
      <c r="G185" s="94">
        <f t="shared" si="7"/>
        <v>-4.9867804695807205E-2</v>
      </c>
      <c r="J185" s="264">
        <v>97.34</v>
      </c>
      <c r="K185" s="94">
        <f t="shared" si="8"/>
        <v>-5.4951456310679547E-2</v>
      </c>
    </row>
    <row r="186" spans="2:11" x14ac:dyDescent="0.25">
      <c r="B186" s="263">
        <v>44678</v>
      </c>
      <c r="C186" s="162">
        <v>4183.96</v>
      </c>
      <c r="D186" s="94">
        <f t="shared" si="6"/>
        <v>2.0981030848821192E-3</v>
      </c>
      <c r="F186" s="161">
        <v>1321.53</v>
      </c>
      <c r="G186" s="94">
        <f t="shared" si="7"/>
        <v>-7.1079117106631617E-4</v>
      </c>
      <c r="J186" s="264">
        <v>97.57</v>
      </c>
      <c r="K186" s="94">
        <f t="shared" si="8"/>
        <v>2.3628518594616121E-3</v>
      </c>
    </row>
    <row r="187" spans="2:11" x14ac:dyDescent="0.25">
      <c r="B187" s="263">
        <v>44679</v>
      </c>
      <c r="C187" s="162">
        <v>4287.5</v>
      </c>
      <c r="D187" s="94">
        <f t="shared" si="6"/>
        <v>2.474689050564538E-2</v>
      </c>
      <c r="F187" s="161">
        <v>1352.18</v>
      </c>
      <c r="G187" s="94">
        <f t="shared" si="7"/>
        <v>2.3192814389382033E-2</v>
      </c>
      <c r="J187" s="264">
        <v>97.78</v>
      </c>
      <c r="K187" s="94">
        <f t="shared" si="8"/>
        <v>2.1523009121657832E-3</v>
      </c>
    </row>
    <row r="188" spans="2:11" x14ac:dyDescent="0.25">
      <c r="B188" s="263">
        <v>44680</v>
      </c>
      <c r="C188" s="162">
        <v>4131.93</v>
      </c>
      <c r="D188" s="94">
        <f t="shared" si="6"/>
        <v>-3.6284548104956182E-2</v>
      </c>
      <c r="F188" s="161">
        <v>1272.1500000000001</v>
      </c>
      <c r="G188" s="94">
        <f t="shared" si="7"/>
        <v>-5.9185907201703913E-2</v>
      </c>
      <c r="J188" s="264">
        <v>91.76</v>
      </c>
      <c r="K188" s="94">
        <f t="shared" si="8"/>
        <v>-6.1566782573123313E-2</v>
      </c>
    </row>
    <row r="189" spans="2:11" x14ac:dyDescent="0.25">
      <c r="B189" s="263">
        <v>44683</v>
      </c>
      <c r="C189" s="162">
        <v>4155.38</v>
      </c>
      <c r="D189" s="94">
        <f t="shared" si="6"/>
        <v>5.6753139573999523E-3</v>
      </c>
      <c r="F189" s="161">
        <v>1289.46</v>
      </c>
      <c r="G189" s="94">
        <f t="shared" si="7"/>
        <v>1.3606885980426808E-2</v>
      </c>
      <c r="J189" s="264">
        <v>90.64</v>
      </c>
      <c r="K189" s="94">
        <f t="shared" si="8"/>
        <v>-1.2205754141238034E-2</v>
      </c>
    </row>
    <row r="190" spans="2:11" x14ac:dyDescent="0.25">
      <c r="B190" s="263">
        <v>44684</v>
      </c>
      <c r="C190" s="162">
        <v>4175.4799999999996</v>
      </c>
      <c r="D190" s="94">
        <f t="shared" si="6"/>
        <v>4.8371027439124692E-3</v>
      </c>
      <c r="F190" s="161">
        <v>1285.71</v>
      </c>
      <c r="G190" s="94">
        <f t="shared" si="7"/>
        <v>-2.9081941277744328E-3</v>
      </c>
      <c r="J190" s="264">
        <v>89.17</v>
      </c>
      <c r="K190" s="94">
        <f t="shared" si="8"/>
        <v>-1.6218005295675186E-2</v>
      </c>
    </row>
    <row r="191" spans="2:11" x14ac:dyDescent="0.25">
      <c r="B191" s="263">
        <v>44685</v>
      </c>
      <c r="C191" s="162">
        <v>4300.17</v>
      </c>
      <c r="D191" s="94">
        <f t="shared" si="6"/>
        <v>2.9862434977535601E-2</v>
      </c>
      <c r="F191" s="161">
        <v>1322.39</v>
      </c>
      <c r="G191" s="94">
        <f t="shared" si="7"/>
        <v>2.8528983985502299E-2</v>
      </c>
      <c r="J191" s="264">
        <v>96.99</v>
      </c>
      <c r="K191" s="94">
        <f t="shared" si="8"/>
        <v>8.7697656162386339E-2</v>
      </c>
    </row>
    <row r="192" spans="2:11" x14ac:dyDescent="0.25">
      <c r="B192" s="263">
        <v>44686</v>
      </c>
      <c r="C192" s="162">
        <v>4146.87</v>
      </c>
      <c r="D192" s="94">
        <f t="shared" si="6"/>
        <v>-3.5649753381843063E-2</v>
      </c>
      <c r="F192" s="161">
        <v>1245.49</v>
      </c>
      <c r="G192" s="94">
        <f t="shared" si="7"/>
        <v>-5.8152284878137395E-2</v>
      </c>
      <c r="J192" s="264">
        <v>87.95</v>
      </c>
      <c r="K192" s="94">
        <f t="shared" si="8"/>
        <v>-9.3205485101556795E-2</v>
      </c>
    </row>
    <row r="193" spans="2:11" x14ac:dyDescent="0.25">
      <c r="B193" s="263">
        <v>44687</v>
      </c>
      <c r="C193" s="162">
        <v>4123.34</v>
      </c>
      <c r="D193" s="94">
        <f t="shared" si="6"/>
        <v>-5.6741590645473794E-3</v>
      </c>
      <c r="F193" s="161">
        <v>1229.22</v>
      </c>
      <c r="G193" s="94">
        <f t="shared" si="7"/>
        <v>-1.306313177946028E-2</v>
      </c>
      <c r="J193" s="264">
        <v>84.02</v>
      </c>
      <c r="K193" s="94">
        <f t="shared" si="8"/>
        <v>-4.4684479818078549E-2</v>
      </c>
    </row>
    <row r="194" spans="2:11" x14ac:dyDescent="0.25">
      <c r="B194" s="263">
        <v>44690</v>
      </c>
      <c r="C194" s="162">
        <v>3991.24</v>
      </c>
      <c r="D194" s="94">
        <f t="shared" si="6"/>
        <v>-3.2037134944001844E-2</v>
      </c>
      <c r="F194" s="161">
        <v>1176.9000000000001</v>
      </c>
      <c r="G194" s="94">
        <f t="shared" si="7"/>
        <v>-4.2563576902425848E-2</v>
      </c>
      <c r="J194" s="264">
        <v>80.819999999999993</v>
      </c>
      <c r="K194" s="94">
        <f t="shared" si="8"/>
        <v>-3.8086169959533511E-2</v>
      </c>
    </row>
    <row r="195" spans="2:11" x14ac:dyDescent="0.25">
      <c r="B195" s="263">
        <v>44691</v>
      </c>
      <c r="C195" s="162">
        <v>4001.05</v>
      </c>
      <c r="D195" s="94">
        <f t="shared" si="6"/>
        <v>2.4578827632515399E-3</v>
      </c>
      <c r="F195" s="161">
        <v>1173.4000000000001</v>
      </c>
      <c r="G195" s="94">
        <f t="shared" si="7"/>
        <v>-2.973914521199772E-3</v>
      </c>
      <c r="J195" s="264">
        <v>81.010000000000005</v>
      </c>
      <c r="K195" s="94">
        <f t="shared" si="8"/>
        <v>2.3509032417718956E-3</v>
      </c>
    </row>
    <row r="196" spans="2:11" x14ac:dyDescent="0.25">
      <c r="B196" s="263">
        <v>44692</v>
      </c>
      <c r="C196" s="162">
        <v>3935.18</v>
      </c>
      <c r="D196" s="94">
        <f t="shared" si="6"/>
        <v>-1.6463178415666024E-2</v>
      </c>
      <c r="F196" s="161">
        <v>1131.55</v>
      </c>
      <c r="G196" s="94">
        <f t="shared" si="7"/>
        <v>-3.5665587182546532E-2</v>
      </c>
      <c r="J196" s="264">
        <v>75.11</v>
      </c>
      <c r="K196" s="94">
        <f t="shared" si="8"/>
        <v>-7.2830514751265341E-2</v>
      </c>
    </row>
    <row r="197" spans="2:11" x14ac:dyDescent="0.25">
      <c r="B197" s="263">
        <v>44693</v>
      </c>
      <c r="C197" s="162">
        <v>3930.08</v>
      </c>
      <c r="D197" s="94">
        <f t="shared" si="6"/>
        <v>-1.2960017076728558E-3</v>
      </c>
      <c r="F197" s="161">
        <v>1140.55</v>
      </c>
      <c r="G197" s="94">
        <f t="shared" si="7"/>
        <v>7.9536918386284849E-3</v>
      </c>
      <c r="J197" s="264">
        <v>77.88</v>
      </c>
      <c r="K197" s="94">
        <f t="shared" si="8"/>
        <v>3.6879243775795434E-2</v>
      </c>
    </row>
    <row r="198" spans="2:11" x14ac:dyDescent="0.25">
      <c r="B198" s="263">
        <v>44694</v>
      </c>
      <c r="C198" s="162">
        <v>4023.89</v>
      </c>
      <c r="D198" s="94">
        <f t="shared" si="6"/>
        <v>2.386974310955492E-2</v>
      </c>
      <c r="F198" s="161">
        <v>1187.3</v>
      </c>
      <c r="G198" s="94">
        <f t="shared" si="7"/>
        <v>4.0988996536758693E-2</v>
      </c>
      <c r="J198" s="264">
        <v>80.92</v>
      </c>
      <c r="K198" s="94">
        <f t="shared" si="8"/>
        <v>3.9034411915767953E-2</v>
      </c>
    </row>
    <row r="199" spans="2:11" x14ac:dyDescent="0.25">
      <c r="B199" s="263">
        <v>44697</v>
      </c>
      <c r="C199" s="162">
        <v>4008.01</v>
      </c>
      <c r="D199" s="94">
        <f t="shared" si="6"/>
        <v>-3.9464299471405617E-3</v>
      </c>
      <c r="F199" s="161">
        <v>1162.17</v>
      </c>
      <c r="G199" s="94">
        <f t="shared" si="7"/>
        <v>-2.1165670007580073E-2</v>
      </c>
      <c r="J199" s="264">
        <v>79.650000000000006</v>
      </c>
      <c r="K199" s="94">
        <f t="shared" si="8"/>
        <v>-1.5694513099357321E-2</v>
      </c>
    </row>
    <row r="200" spans="2:11" x14ac:dyDescent="0.25">
      <c r="B200" s="263">
        <v>44698</v>
      </c>
      <c r="C200" s="162">
        <v>4088.85</v>
      </c>
      <c r="D200" s="94">
        <f t="shared" si="6"/>
        <v>2.0169610355263545E-2</v>
      </c>
      <c r="F200" s="161">
        <v>1193.3</v>
      </c>
      <c r="G200" s="94">
        <f t="shared" si="7"/>
        <v>2.6786098419336213E-2</v>
      </c>
      <c r="J200" s="264">
        <v>79.09</v>
      </c>
      <c r="K200" s="94">
        <f t="shared" si="8"/>
        <v>-7.0307595731324835E-3</v>
      </c>
    </row>
    <row r="201" spans="2:11" x14ac:dyDescent="0.25">
      <c r="B201" s="263">
        <v>44699</v>
      </c>
      <c r="C201" s="162">
        <v>3923.68</v>
      </c>
      <c r="D201" s="94">
        <f t="shared" ref="D201:D264" si="9">C201/C200-1</f>
        <v>-4.0395221150201222E-2</v>
      </c>
      <c r="F201" s="161">
        <v>1114.57</v>
      </c>
      <c r="G201" s="94">
        <f t="shared" ref="G201:G264" si="10">F201/F200-1</f>
        <v>-6.5976703259867597E-2</v>
      </c>
      <c r="J201" s="264">
        <v>72.540000000000006</v>
      </c>
      <c r="K201" s="94">
        <f t="shared" si="8"/>
        <v>-8.281704387406752E-2</v>
      </c>
    </row>
    <row r="202" spans="2:11" x14ac:dyDescent="0.25">
      <c r="B202" s="263">
        <v>44700</v>
      </c>
      <c r="C202" s="162">
        <v>3900.79</v>
      </c>
      <c r="D202" s="94">
        <f t="shared" si="9"/>
        <v>-5.8338090771927753E-3</v>
      </c>
      <c r="F202" s="161">
        <v>1116.01</v>
      </c>
      <c r="G202" s="94">
        <f t="shared" si="10"/>
        <v>1.2919780722611129E-3</v>
      </c>
      <c r="J202" s="264">
        <v>74.209999999999994</v>
      </c>
      <c r="K202" s="94">
        <f t="shared" ref="K202:K265" si="11">J202/J201-1</f>
        <v>2.3021781086296933E-2</v>
      </c>
    </row>
    <row r="203" spans="2:11" x14ac:dyDescent="0.25">
      <c r="B203" s="263">
        <v>44701</v>
      </c>
      <c r="C203" s="162">
        <v>3901.36</v>
      </c>
      <c r="D203" s="94">
        <f t="shared" si="9"/>
        <v>1.4612424662696633E-4</v>
      </c>
      <c r="F203" s="161">
        <v>1098.9100000000001</v>
      </c>
      <c r="G203" s="94">
        <f t="shared" si="10"/>
        <v>-1.5322443347281722E-2</v>
      </c>
      <c r="J203" s="264">
        <v>73.16</v>
      </c>
      <c r="K203" s="94">
        <f t="shared" si="11"/>
        <v>-1.4149036517989488E-2</v>
      </c>
    </row>
    <row r="204" spans="2:11" x14ac:dyDescent="0.25">
      <c r="B204" s="263">
        <v>44704</v>
      </c>
      <c r="C204" s="162">
        <v>3973.75</v>
      </c>
      <c r="D204" s="94">
        <f t="shared" si="9"/>
        <v>1.8555067976295359E-2</v>
      </c>
      <c r="F204" s="161">
        <v>1105.9100000000001</v>
      </c>
      <c r="G204" s="94">
        <f t="shared" si="10"/>
        <v>6.3699484034178688E-3</v>
      </c>
      <c r="J204" s="264">
        <v>71.709999999999994</v>
      </c>
      <c r="K204" s="94">
        <f t="shared" si="11"/>
        <v>-1.9819573537452229E-2</v>
      </c>
    </row>
    <row r="205" spans="2:11" x14ac:dyDescent="0.25">
      <c r="B205" s="263">
        <v>44705</v>
      </c>
      <c r="C205" s="162">
        <v>3941.48</v>
      </c>
      <c r="D205" s="94">
        <f t="shared" si="9"/>
        <v>-8.1207927021075266E-3</v>
      </c>
      <c r="F205" s="161">
        <v>1077.3900000000001</v>
      </c>
      <c r="G205" s="94">
        <f t="shared" si="10"/>
        <v>-2.5788716984203042E-2</v>
      </c>
      <c r="J205" s="264">
        <v>69.05</v>
      </c>
      <c r="K205" s="94">
        <f t="shared" si="11"/>
        <v>-3.7093850230093373E-2</v>
      </c>
    </row>
    <row r="206" spans="2:11" x14ac:dyDescent="0.25">
      <c r="B206" s="263">
        <v>44706</v>
      </c>
      <c r="C206" s="162">
        <v>3978.73</v>
      </c>
      <c r="D206" s="94">
        <f t="shared" si="9"/>
        <v>9.4507646873762674E-3</v>
      </c>
      <c r="F206" s="161">
        <v>1107.3699999999999</v>
      </c>
      <c r="G206" s="94">
        <f t="shared" si="10"/>
        <v>2.7826506650330707E-2</v>
      </c>
      <c r="J206" s="264">
        <v>72.42</v>
      </c>
      <c r="K206" s="94">
        <f t="shared" si="11"/>
        <v>4.8805213613323684E-2</v>
      </c>
    </row>
    <row r="207" spans="2:11" x14ac:dyDescent="0.25">
      <c r="B207" s="263">
        <v>44707</v>
      </c>
      <c r="C207" s="162">
        <v>4057.84</v>
      </c>
      <c r="D207" s="94">
        <f t="shared" si="9"/>
        <v>1.988322907058282E-2</v>
      </c>
      <c r="F207" s="161">
        <v>1160.27</v>
      </c>
      <c r="G207" s="94">
        <f t="shared" si="10"/>
        <v>4.7770844433206783E-2</v>
      </c>
      <c r="J207" s="264">
        <v>75.66</v>
      </c>
      <c r="K207" s="94">
        <f t="shared" si="11"/>
        <v>4.4739022369511217E-2</v>
      </c>
    </row>
    <row r="208" spans="2:11" x14ac:dyDescent="0.25">
      <c r="B208" s="263">
        <v>44708</v>
      </c>
      <c r="C208" s="162">
        <v>4158.24</v>
      </c>
      <c r="D208" s="94">
        <f t="shared" si="9"/>
        <v>2.4742227391912897E-2</v>
      </c>
      <c r="F208" s="161">
        <v>1200.5</v>
      </c>
      <c r="G208" s="94">
        <f t="shared" si="10"/>
        <v>3.4672964051470689E-2</v>
      </c>
      <c r="J208" s="264">
        <v>78.22</v>
      </c>
      <c r="K208" s="94">
        <f t="shared" si="11"/>
        <v>3.3835580227332906E-2</v>
      </c>
    </row>
    <row r="209" spans="2:11" x14ac:dyDescent="0.25">
      <c r="B209" s="263">
        <v>44712</v>
      </c>
      <c r="C209" s="162">
        <v>4132.1499999999996</v>
      </c>
      <c r="D209" s="94">
        <f t="shared" si="9"/>
        <v>-6.2742891223209751E-3</v>
      </c>
      <c r="F209" s="161">
        <v>1209.68</v>
      </c>
      <c r="G209" s="94">
        <f t="shared" si="10"/>
        <v>7.6468138275718189E-3</v>
      </c>
      <c r="J209" s="264">
        <v>79.66</v>
      </c>
      <c r="K209" s="94">
        <f t="shared" si="11"/>
        <v>1.8409613909486033E-2</v>
      </c>
    </row>
    <row r="210" spans="2:11" x14ac:dyDescent="0.25">
      <c r="B210" s="263">
        <v>44713</v>
      </c>
      <c r="C210" s="162">
        <v>4101.2299999999996</v>
      </c>
      <c r="D210" s="94">
        <f t="shared" si="9"/>
        <v>-7.4827874109120174E-3</v>
      </c>
      <c r="F210" s="161">
        <v>1199.49</v>
      </c>
      <c r="G210" s="94">
        <f t="shared" si="10"/>
        <v>-8.4237153627405581E-3</v>
      </c>
      <c r="J210" s="264">
        <v>74.13</v>
      </c>
      <c r="K210" s="94">
        <f t="shared" si="11"/>
        <v>-6.9420035149384884E-2</v>
      </c>
    </row>
    <row r="211" spans="2:11" x14ac:dyDescent="0.25">
      <c r="B211" s="263">
        <v>44714</v>
      </c>
      <c r="C211" s="162">
        <v>4176.82</v>
      </c>
      <c r="D211" s="94">
        <f t="shared" si="9"/>
        <v>1.8431056049039052E-2</v>
      </c>
      <c r="F211" s="161">
        <v>1235.79</v>
      </c>
      <c r="G211" s="94">
        <f t="shared" si="10"/>
        <v>3.0262861716229272E-2</v>
      </c>
      <c r="J211" s="264">
        <v>79.25</v>
      </c>
      <c r="K211" s="94">
        <f t="shared" si="11"/>
        <v>6.9067853770403476E-2</v>
      </c>
    </row>
    <row r="212" spans="2:11" x14ac:dyDescent="0.25">
      <c r="B212" s="263">
        <v>44715</v>
      </c>
      <c r="C212" s="162">
        <v>4108.54</v>
      </c>
      <c r="D212" s="94">
        <f t="shared" si="9"/>
        <v>-1.6347364741597592E-2</v>
      </c>
      <c r="F212" s="161">
        <v>1200.56</v>
      </c>
      <c r="G212" s="94">
        <f t="shared" si="10"/>
        <v>-2.8508079851754742E-2</v>
      </c>
      <c r="J212" s="264">
        <v>78.09</v>
      </c>
      <c r="K212" s="94">
        <f t="shared" si="11"/>
        <v>-1.4637223974763414E-2</v>
      </c>
    </row>
    <row r="213" spans="2:11" x14ac:dyDescent="0.25">
      <c r="B213" s="263">
        <v>44718</v>
      </c>
      <c r="C213" s="162">
        <v>4121.43</v>
      </c>
      <c r="D213" s="94">
        <f t="shared" si="9"/>
        <v>3.1373675320187644E-3</v>
      </c>
      <c r="F213" s="161">
        <v>1212.9000000000001</v>
      </c>
      <c r="G213" s="94">
        <f t="shared" si="10"/>
        <v>1.0278536682881478E-2</v>
      </c>
      <c r="J213" s="264">
        <v>78.63</v>
      </c>
      <c r="K213" s="94">
        <f t="shared" si="11"/>
        <v>6.9150979638876731E-3</v>
      </c>
    </row>
    <row r="214" spans="2:11" x14ac:dyDescent="0.25">
      <c r="B214" s="263">
        <v>44719</v>
      </c>
      <c r="C214" s="162">
        <v>4160.68</v>
      </c>
      <c r="D214" s="94">
        <f t="shared" si="9"/>
        <v>9.5233935794130087E-3</v>
      </c>
      <c r="F214" s="161">
        <v>1208.4000000000001</v>
      </c>
      <c r="G214" s="94">
        <f t="shared" si="10"/>
        <v>-3.7101162503091478E-3</v>
      </c>
      <c r="J214" s="264">
        <v>81.290000000000006</v>
      </c>
      <c r="K214" s="94">
        <f t="shared" si="11"/>
        <v>3.3829327228793282E-2</v>
      </c>
    </row>
    <row r="215" spans="2:11" x14ac:dyDescent="0.25">
      <c r="B215" s="263">
        <v>44720</v>
      </c>
      <c r="C215" s="162">
        <v>4115.7700000000004</v>
      </c>
      <c r="D215" s="94">
        <f t="shared" si="9"/>
        <v>-1.0793908688002896E-2</v>
      </c>
      <c r="F215" s="161">
        <v>1200.18</v>
      </c>
      <c r="G215" s="94">
        <f t="shared" si="10"/>
        <v>-6.8023833167825121E-3</v>
      </c>
      <c r="J215" s="264">
        <v>82.67</v>
      </c>
      <c r="K215" s="94">
        <f t="shared" si="11"/>
        <v>1.6976257842292952E-2</v>
      </c>
    </row>
    <row r="216" spans="2:11" x14ac:dyDescent="0.25">
      <c r="B216" s="263">
        <v>44721</v>
      </c>
      <c r="C216" s="162">
        <v>4017.82</v>
      </c>
      <c r="D216" s="94">
        <f t="shared" si="9"/>
        <v>-2.3798705952956634E-2</v>
      </c>
      <c r="F216" s="161">
        <v>1176.7</v>
      </c>
      <c r="G216" s="94">
        <f t="shared" si="10"/>
        <v>-1.9563732106850695E-2</v>
      </c>
      <c r="J216" s="264">
        <v>81.69</v>
      </c>
      <c r="K216" s="94">
        <f t="shared" si="11"/>
        <v>-1.1854360711261669E-2</v>
      </c>
    </row>
    <row r="217" spans="2:11" x14ac:dyDescent="0.25">
      <c r="B217" s="263">
        <v>44722</v>
      </c>
      <c r="C217" s="162">
        <v>3900.86</v>
      </c>
      <c r="D217" s="94">
        <f t="shared" si="9"/>
        <v>-2.9110313553120881E-2</v>
      </c>
      <c r="F217" s="161">
        <v>1127.72</v>
      </c>
      <c r="G217" s="94">
        <f t="shared" si="10"/>
        <v>-4.1624883147786229E-2</v>
      </c>
      <c r="J217" s="264">
        <v>78.180000000000007</v>
      </c>
      <c r="K217" s="94">
        <f t="shared" si="11"/>
        <v>-4.2967315460888611E-2</v>
      </c>
    </row>
    <row r="218" spans="2:11" x14ac:dyDescent="0.25">
      <c r="B218" s="263">
        <v>44725</v>
      </c>
      <c r="C218" s="162">
        <v>3749.63</v>
      </c>
      <c r="D218" s="94">
        <f t="shared" si="9"/>
        <v>-3.8768374153391849E-2</v>
      </c>
      <c r="F218" s="161">
        <v>1075.2</v>
      </c>
      <c r="G218" s="94">
        <f t="shared" si="10"/>
        <v>-4.657184407477033E-2</v>
      </c>
      <c r="J218" s="264">
        <v>73.27</v>
      </c>
      <c r="K218" s="94">
        <f t="shared" si="11"/>
        <v>-6.280378613456139E-2</v>
      </c>
    </row>
    <row r="219" spans="2:11" x14ac:dyDescent="0.25">
      <c r="B219" s="263">
        <v>44726</v>
      </c>
      <c r="C219" s="162">
        <v>3735.48</v>
      </c>
      <c r="D219" s="94">
        <f t="shared" si="9"/>
        <v>-3.7737056722930706E-3</v>
      </c>
      <c r="F219" s="161">
        <v>1072.55</v>
      </c>
      <c r="G219" s="94">
        <f t="shared" si="10"/>
        <v>-2.4646577380953438E-3</v>
      </c>
      <c r="J219" s="264">
        <v>72.260000000000005</v>
      </c>
      <c r="K219" s="94">
        <f t="shared" si="11"/>
        <v>-1.3784632182339163E-2</v>
      </c>
    </row>
    <row r="220" spans="2:11" x14ac:dyDescent="0.25">
      <c r="B220" s="263">
        <v>44727</v>
      </c>
      <c r="C220" s="162">
        <v>3789.99</v>
      </c>
      <c r="D220" s="94">
        <f t="shared" si="9"/>
        <v>1.4592502168395916E-2</v>
      </c>
      <c r="F220" s="161">
        <v>1104.97</v>
      </c>
      <c r="G220" s="94">
        <f t="shared" si="10"/>
        <v>3.0227029042935172E-2</v>
      </c>
      <c r="J220" s="264">
        <v>75.459999999999994</v>
      </c>
      <c r="K220" s="94">
        <f t="shared" si="11"/>
        <v>4.4284528092997322E-2</v>
      </c>
    </row>
    <row r="221" spans="2:11" x14ac:dyDescent="0.25">
      <c r="B221" s="263">
        <v>44728</v>
      </c>
      <c r="C221" s="162">
        <v>3666.77</v>
      </c>
      <c r="D221" s="94">
        <f t="shared" si="9"/>
        <v>-3.2511959134456814E-2</v>
      </c>
      <c r="F221" s="161">
        <v>1052.3800000000001</v>
      </c>
      <c r="G221" s="94">
        <f t="shared" si="10"/>
        <v>-4.7594052327212477E-2</v>
      </c>
      <c r="J221" s="264">
        <v>71.87</v>
      </c>
      <c r="K221" s="94">
        <f t="shared" si="11"/>
        <v>-4.757487410548622E-2</v>
      </c>
    </row>
    <row r="222" spans="2:11" x14ac:dyDescent="0.25">
      <c r="B222" s="263">
        <v>44729</v>
      </c>
      <c r="C222" s="162">
        <v>3674.84</v>
      </c>
      <c r="D222" s="94">
        <f t="shared" si="9"/>
        <v>2.2008470670371594E-3</v>
      </c>
      <c r="F222" s="161">
        <v>1065.21</v>
      </c>
      <c r="G222" s="94">
        <f t="shared" si="10"/>
        <v>1.2191413747885571E-2</v>
      </c>
      <c r="J222" s="264">
        <v>76.599999999999994</v>
      </c>
      <c r="K222" s="94">
        <f t="shared" si="11"/>
        <v>6.5813273966884411E-2</v>
      </c>
    </row>
    <row r="223" spans="2:11" x14ac:dyDescent="0.25">
      <c r="B223" s="263">
        <v>44733</v>
      </c>
      <c r="C223" s="162">
        <v>3764.79</v>
      </c>
      <c r="D223" s="94">
        <f t="shared" si="9"/>
        <v>2.447725615264873E-2</v>
      </c>
      <c r="F223" s="161">
        <v>1095.27</v>
      </c>
      <c r="G223" s="94">
        <f t="shared" si="10"/>
        <v>2.82197876475061E-2</v>
      </c>
      <c r="J223" s="264">
        <v>75.47</v>
      </c>
      <c r="K223" s="94">
        <f t="shared" si="11"/>
        <v>-1.4751958224543005E-2</v>
      </c>
    </row>
    <row r="224" spans="2:11" x14ac:dyDescent="0.25">
      <c r="B224" s="263">
        <v>44734</v>
      </c>
      <c r="C224" s="162">
        <v>3759.89</v>
      </c>
      <c r="D224" s="94">
        <f t="shared" si="9"/>
        <v>-1.3015334188627437E-3</v>
      </c>
      <c r="F224" s="161">
        <v>1093.76</v>
      </c>
      <c r="G224" s="94">
        <f t="shared" si="10"/>
        <v>-1.3786554913399751E-3</v>
      </c>
      <c r="J224" s="264">
        <v>73.92</v>
      </c>
      <c r="K224" s="94">
        <f t="shared" si="11"/>
        <v>-2.0537962104147267E-2</v>
      </c>
    </row>
    <row r="225" spans="2:11" x14ac:dyDescent="0.25">
      <c r="B225" s="263">
        <v>44735</v>
      </c>
      <c r="C225" s="162">
        <v>3795.73</v>
      </c>
      <c r="D225" s="94">
        <f t="shared" si="9"/>
        <v>9.5321937609877949E-3</v>
      </c>
      <c r="F225" s="161">
        <v>1111.48</v>
      </c>
      <c r="G225" s="94">
        <f t="shared" si="10"/>
        <v>1.6200994733762464E-2</v>
      </c>
      <c r="J225" s="264">
        <v>80.64</v>
      </c>
      <c r="K225" s="94">
        <f t="shared" si="11"/>
        <v>9.0909090909090828E-2</v>
      </c>
    </row>
    <row r="226" spans="2:11" x14ac:dyDescent="0.25">
      <c r="B226" s="263">
        <v>44736</v>
      </c>
      <c r="C226" s="162">
        <v>3911.74</v>
      </c>
      <c r="D226" s="94">
        <f t="shared" si="9"/>
        <v>3.0563290855777359E-2</v>
      </c>
      <c r="F226" s="161">
        <v>1153.04</v>
      </c>
      <c r="G226" s="94">
        <f t="shared" si="10"/>
        <v>3.739158599345016E-2</v>
      </c>
      <c r="J226" s="264">
        <v>83.58</v>
      </c>
      <c r="K226" s="94">
        <f t="shared" si="11"/>
        <v>3.6458333333333259E-2</v>
      </c>
    </row>
    <row r="227" spans="2:11" x14ac:dyDescent="0.25">
      <c r="B227" s="263">
        <v>44739</v>
      </c>
      <c r="C227" s="162">
        <v>3900.11</v>
      </c>
      <c r="D227" s="94">
        <f t="shared" si="9"/>
        <v>-2.973101484249896E-3</v>
      </c>
      <c r="F227" s="161">
        <v>1140.53</v>
      </c>
      <c r="G227" s="94">
        <f t="shared" si="10"/>
        <v>-1.0849580240060996E-2</v>
      </c>
      <c r="J227" s="264">
        <v>78.819999999999993</v>
      </c>
      <c r="K227" s="94">
        <f t="shared" si="11"/>
        <v>-5.6951423785594701E-2</v>
      </c>
    </row>
    <row r="228" spans="2:11" x14ac:dyDescent="0.25">
      <c r="B228" s="263">
        <v>44740</v>
      </c>
      <c r="C228" s="162">
        <v>3821.55</v>
      </c>
      <c r="D228" s="94">
        <f t="shared" si="9"/>
        <v>-2.0143021607082812E-2</v>
      </c>
      <c r="F228" s="161">
        <v>1094.58</v>
      </c>
      <c r="G228" s="94">
        <f t="shared" si="10"/>
        <v>-4.028828702445364E-2</v>
      </c>
      <c r="J228" s="264">
        <v>74.709999999999994</v>
      </c>
      <c r="K228" s="94">
        <f t="shared" si="11"/>
        <v>-5.2144125856381618E-2</v>
      </c>
    </row>
    <row r="229" spans="2:11" x14ac:dyDescent="0.25">
      <c r="B229" s="263">
        <v>44741</v>
      </c>
      <c r="C229" s="162">
        <v>3818.83</v>
      </c>
      <c r="D229" s="94">
        <f t="shared" si="9"/>
        <v>-7.1175308448145902E-4</v>
      </c>
      <c r="F229" s="161">
        <v>1094.6500000000001</v>
      </c>
      <c r="G229" s="94">
        <f t="shared" si="10"/>
        <v>6.3951469970291441E-5</v>
      </c>
      <c r="J229" s="264">
        <v>76.25</v>
      </c>
      <c r="K229" s="94">
        <f t="shared" si="11"/>
        <v>2.0613037076696594E-2</v>
      </c>
    </row>
    <row r="230" spans="2:11" x14ac:dyDescent="0.25">
      <c r="B230" s="263">
        <v>44742</v>
      </c>
      <c r="C230" s="162">
        <v>3785.38</v>
      </c>
      <c r="D230" s="94">
        <f t="shared" si="9"/>
        <v>-8.7592273026031453E-3</v>
      </c>
      <c r="F230" s="161">
        <v>1077.78</v>
      </c>
      <c r="G230" s="94">
        <f t="shared" si="10"/>
        <v>-1.541131868633816E-2</v>
      </c>
      <c r="J230" s="264">
        <v>74.77</v>
      </c>
      <c r="K230" s="94">
        <f t="shared" si="11"/>
        <v>-1.9409836065573782E-2</v>
      </c>
    </row>
    <row r="231" spans="2:11" x14ac:dyDescent="0.25">
      <c r="B231" s="263">
        <v>44743</v>
      </c>
      <c r="C231" s="162">
        <v>3825.33</v>
      </c>
      <c r="D231" s="94">
        <f t="shared" si="9"/>
        <v>1.0553762105785847E-2</v>
      </c>
      <c r="F231" s="161">
        <v>1098.96</v>
      </c>
      <c r="G231" s="94">
        <f t="shared" si="10"/>
        <v>1.9651505873183872E-2</v>
      </c>
      <c r="J231" s="264">
        <v>79.44</v>
      </c>
      <c r="K231" s="94">
        <f t="shared" si="11"/>
        <v>6.2458205162498448E-2</v>
      </c>
    </row>
    <row r="232" spans="2:11" x14ac:dyDescent="0.25">
      <c r="B232" s="263">
        <v>44747</v>
      </c>
      <c r="C232" s="162">
        <v>3831.39</v>
      </c>
      <c r="D232" s="94">
        <f t="shared" si="9"/>
        <v>1.5841770513915776E-3</v>
      </c>
      <c r="F232" s="161">
        <v>1124</v>
      </c>
      <c r="G232" s="94">
        <f t="shared" si="10"/>
        <v>2.2785178714420873E-2</v>
      </c>
      <c r="J232" s="264">
        <v>84.38</v>
      </c>
      <c r="K232" s="94">
        <f t="shared" si="11"/>
        <v>6.2185297079556889E-2</v>
      </c>
    </row>
    <row r="233" spans="2:11" x14ac:dyDescent="0.25">
      <c r="B233" s="263">
        <v>44748</v>
      </c>
      <c r="C233" s="162">
        <v>3845.08</v>
      </c>
      <c r="D233" s="94">
        <f t="shared" si="9"/>
        <v>3.5731157621645693E-3</v>
      </c>
      <c r="F233" s="161">
        <v>1121.3</v>
      </c>
      <c r="G233" s="94">
        <f t="shared" si="10"/>
        <v>-2.4021352313167155E-3</v>
      </c>
      <c r="J233" s="264">
        <v>86.66</v>
      </c>
      <c r="K233" s="94">
        <f t="shared" si="11"/>
        <v>2.7020621000237055E-2</v>
      </c>
    </row>
    <row r="234" spans="2:11" x14ac:dyDescent="0.25">
      <c r="B234" s="263">
        <v>44749</v>
      </c>
      <c r="C234" s="162">
        <v>3902.62</v>
      </c>
      <c r="D234" s="94">
        <f t="shared" si="9"/>
        <v>1.4964578110208349E-2</v>
      </c>
      <c r="F234" s="161">
        <v>1149.1600000000001</v>
      </c>
      <c r="G234" s="94">
        <f t="shared" si="10"/>
        <v>2.4846160706323062E-2</v>
      </c>
      <c r="J234" s="264">
        <v>91.16</v>
      </c>
      <c r="K234" s="94">
        <f t="shared" si="11"/>
        <v>5.1927071313177864E-2</v>
      </c>
    </row>
    <row r="235" spans="2:11" x14ac:dyDescent="0.25">
      <c r="B235" s="263">
        <v>44750</v>
      </c>
      <c r="C235" s="162">
        <v>3899.38</v>
      </c>
      <c r="D235" s="94">
        <f t="shared" si="9"/>
        <v>-8.3021149894169088E-4</v>
      </c>
      <c r="F235" s="161">
        <v>1148.97</v>
      </c>
      <c r="G235" s="94">
        <f t="shared" si="10"/>
        <v>-1.6533816004737911E-4</v>
      </c>
      <c r="J235" s="264">
        <v>92.72</v>
      </c>
      <c r="K235" s="94">
        <f t="shared" si="11"/>
        <v>1.7112768758227315E-2</v>
      </c>
    </row>
    <row r="236" spans="2:11" x14ac:dyDescent="0.25">
      <c r="B236" s="263">
        <v>44753</v>
      </c>
      <c r="C236" s="162">
        <v>3854.43</v>
      </c>
      <c r="D236" s="94">
        <f t="shared" si="9"/>
        <v>-1.1527473598367033E-2</v>
      </c>
      <c r="F236" s="161">
        <v>1117.23</v>
      </c>
      <c r="G236" s="94">
        <f t="shared" si="10"/>
        <v>-2.7624742160369697E-2</v>
      </c>
      <c r="J236" s="264">
        <v>89.97</v>
      </c>
      <c r="K236" s="94">
        <f t="shared" si="11"/>
        <v>-2.9659188955996507E-2</v>
      </c>
    </row>
    <row r="237" spans="2:11" x14ac:dyDescent="0.25">
      <c r="B237" s="263">
        <v>44754</v>
      </c>
      <c r="C237" s="162">
        <v>3818.8</v>
      </c>
      <c r="D237" s="94">
        <f t="shared" si="9"/>
        <v>-9.2439089567069033E-3</v>
      </c>
      <c r="F237" s="161">
        <v>1109.08</v>
      </c>
      <c r="G237" s="94">
        <f t="shared" si="10"/>
        <v>-7.2948273855876211E-3</v>
      </c>
      <c r="J237" s="264">
        <v>88.58</v>
      </c>
      <c r="K237" s="94">
        <f t="shared" si="11"/>
        <v>-1.5449594309214221E-2</v>
      </c>
    </row>
    <row r="238" spans="2:11" x14ac:dyDescent="0.25">
      <c r="B238" s="263">
        <v>44755</v>
      </c>
      <c r="C238" s="162">
        <v>3801.78</v>
      </c>
      <c r="D238" s="94">
        <f t="shared" si="9"/>
        <v>-4.4568974546977946E-3</v>
      </c>
      <c r="F238" s="161">
        <v>1118.6199999999999</v>
      </c>
      <c r="G238" s="94">
        <f t="shared" si="10"/>
        <v>8.6017239513831445E-3</v>
      </c>
      <c r="J238" s="264">
        <v>90.57</v>
      </c>
      <c r="K238" s="94">
        <f t="shared" si="11"/>
        <v>2.2465567848272583E-2</v>
      </c>
    </row>
    <row r="239" spans="2:11" x14ac:dyDescent="0.25">
      <c r="B239" s="263">
        <v>44756</v>
      </c>
      <c r="C239" s="162">
        <v>3790.38</v>
      </c>
      <c r="D239" s="94">
        <f t="shared" si="9"/>
        <v>-2.99859539478875E-3</v>
      </c>
      <c r="F239" s="161">
        <v>1117.9000000000001</v>
      </c>
      <c r="G239" s="94">
        <f t="shared" si="10"/>
        <v>-6.4365021186796323E-4</v>
      </c>
      <c r="J239" s="264">
        <v>92.51</v>
      </c>
      <c r="K239" s="94">
        <f t="shared" si="11"/>
        <v>2.1419896212874212E-2</v>
      </c>
    </row>
    <row r="240" spans="2:11" x14ac:dyDescent="0.25">
      <c r="B240" s="263">
        <v>44757</v>
      </c>
      <c r="C240" s="162">
        <v>3863.16</v>
      </c>
      <c r="D240" s="94">
        <f t="shared" si="9"/>
        <v>1.9201241036518768E-2</v>
      </c>
      <c r="F240" s="161">
        <v>1136.97</v>
      </c>
      <c r="G240" s="94">
        <f t="shared" si="10"/>
        <v>1.7058770909741394E-2</v>
      </c>
      <c r="J240" s="264">
        <v>99.49</v>
      </c>
      <c r="K240" s="94">
        <f t="shared" si="11"/>
        <v>7.5451302561885036E-2</v>
      </c>
    </row>
    <row r="241" spans="2:11" x14ac:dyDescent="0.25">
      <c r="B241" s="263">
        <v>44760</v>
      </c>
      <c r="C241" s="162">
        <v>3830.85</v>
      </c>
      <c r="D241" s="94">
        <f t="shared" si="9"/>
        <v>-8.3636194203708936E-3</v>
      </c>
      <c r="F241" s="161">
        <v>1139.45</v>
      </c>
      <c r="G241" s="94">
        <f t="shared" si="10"/>
        <v>2.1812360924211571E-3</v>
      </c>
      <c r="J241" s="264">
        <v>96.55</v>
      </c>
      <c r="K241" s="94">
        <f t="shared" si="11"/>
        <v>-2.9550708613931054E-2</v>
      </c>
    </row>
    <row r="242" spans="2:11" x14ac:dyDescent="0.25">
      <c r="B242" s="263">
        <v>44761</v>
      </c>
      <c r="C242" s="162">
        <v>3936.69</v>
      </c>
      <c r="D242" s="94">
        <f t="shared" si="9"/>
        <v>2.7628333137554417E-2</v>
      </c>
      <c r="F242" s="161">
        <v>1174.6199999999999</v>
      </c>
      <c r="G242" s="94">
        <f t="shared" si="10"/>
        <v>3.0865768572556851E-2</v>
      </c>
      <c r="J242" s="264">
        <v>101.77</v>
      </c>
      <c r="K242" s="94">
        <f t="shared" si="11"/>
        <v>5.4065251165199335E-2</v>
      </c>
    </row>
    <row r="243" spans="2:11" x14ac:dyDescent="0.25">
      <c r="B243" s="263">
        <v>44762</v>
      </c>
      <c r="C243" s="162">
        <v>3959.9</v>
      </c>
      <c r="D243" s="94">
        <f t="shared" si="9"/>
        <v>5.8958160281861183E-3</v>
      </c>
      <c r="F243" s="161">
        <v>1195.3499999999999</v>
      </c>
      <c r="G243" s="94">
        <f t="shared" si="10"/>
        <v>1.7648260714103303E-2</v>
      </c>
      <c r="J243" s="264">
        <v>107.46</v>
      </c>
      <c r="K243" s="94">
        <f t="shared" si="11"/>
        <v>5.5910386164881531E-2</v>
      </c>
    </row>
    <row r="244" spans="2:11" x14ac:dyDescent="0.25">
      <c r="B244" s="263">
        <v>44763</v>
      </c>
      <c r="C244" s="162">
        <v>3998.95</v>
      </c>
      <c r="D244" s="94">
        <f t="shared" si="9"/>
        <v>9.8613601353569891E-3</v>
      </c>
      <c r="F244" s="161">
        <v>1222.21</v>
      </c>
      <c r="G244" s="94">
        <f t="shared" si="10"/>
        <v>2.2470406157192535E-2</v>
      </c>
      <c r="J244" s="264">
        <v>106.74</v>
      </c>
      <c r="K244" s="94">
        <f t="shared" si="11"/>
        <v>-6.7001675041875597E-3</v>
      </c>
    </row>
    <row r="245" spans="2:11" x14ac:dyDescent="0.25">
      <c r="B245" s="263">
        <v>44764</v>
      </c>
      <c r="C245" s="162">
        <v>3961.63</v>
      </c>
      <c r="D245" s="94">
        <f t="shared" si="9"/>
        <v>-9.3324497680640217E-3</v>
      </c>
      <c r="F245" s="161">
        <v>1214.18</v>
      </c>
      <c r="G245" s="94">
        <f t="shared" si="10"/>
        <v>-6.5700657006569907E-3</v>
      </c>
      <c r="J245" s="264">
        <v>104.5</v>
      </c>
      <c r="K245" s="94">
        <f t="shared" si="11"/>
        <v>-2.0985572418961929E-2</v>
      </c>
    </row>
    <row r="246" spans="2:11" x14ac:dyDescent="0.25">
      <c r="B246" s="263">
        <v>44767</v>
      </c>
      <c r="C246" s="162">
        <v>3966.84</v>
      </c>
      <c r="D246" s="94">
        <f t="shared" si="9"/>
        <v>1.3151152429682345E-3</v>
      </c>
      <c r="F246" s="161">
        <v>1203.8800000000001</v>
      </c>
      <c r="G246" s="94">
        <f t="shared" si="10"/>
        <v>-8.4830914691396142E-3</v>
      </c>
      <c r="J246" s="264">
        <v>99.26</v>
      </c>
      <c r="K246" s="94">
        <f t="shared" si="11"/>
        <v>-5.0143540669856379E-2</v>
      </c>
    </row>
    <row r="247" spans="2:11" x14ac:dyDescent="0.25">
      <c r="B247" s="263">
        <v>44768</v>
      </c>
      <c r="C247" s="162">
        <v>3921.05</v>
      </c>
      <c r="D247" s="94">
        <f t="shared" si="9"/>
        <v>-1.1543193070554847E-2</v>
      </c>
      <c r="F247" s="161">
        <v>1164.0899999999999</v>
      </c>
      <c r="G247" s="94">
        <f t="shared" si="10"/>
        <v>-3.3051466923613826E-2</v>
      </c>
      <c r="J247" s="264">
        <v>94.19</v>
      </c>
      <c r="K247" s="94">
        <f t="shared" si="11"/>
        <v>-5.1077977030022259E-2</v>
      </c>
    </row>
    <row r="248" spans="2:11" x14ac:dyDescent="0.25">
      <c r="B248" s="263">
        <v>44769</v>
      </c>
      <c r="C248" s="162">
        <v>4023.61</v>
      </c>
      <c r="D248" s="94">
        <f t="shared" si="9"/>
        <v>2.6156259165274642E-2</v>
      </c>
      <c r="F248" s="161">
        <v>1208.9100000000001</v>
      </c>
      <c r="G248" s="94">
        <f t="shared" si="10"/>
        <v>3.8502177666675408E-2</v>
      </c>
      <c r="J248" s="264">
        <v>99.68</v>
      </c>
      <c r="K248" s="94">
        <f t="shared" si="11"/>
        <v>5.8286442297483809E-2</v>
      </c>
    </row>
    <row r="249" spans="2:11" x14ac:dyDescent="0.25">
      <c r="B249" s="263">
        <v>44770</v>
      </c>
      <c r="C249" s="162">
        <v>4072.43</v>
      </c>
      <c r="D249" s="94">
        <f t="shared" si="9"/>
        <v>1.2133382708562568E-2</v>
      </c>
      <c r="F249" s="161">
        <v>1229.07</v>
      </c>
      <c r="G249" s="94">
        <f t="shared" si="10"/>
        <v>1.6676179368191102E-2</v>
      </c>
      <c r="J249" s="264">
        <v>119.8</v>
      </c>
      <c r="K249" s="94">
        <f t="shared" si="11"/>
        <v>0.20184590690208659</v>
      </c>
    </row>
    <row r="250" spans="2:11" x14ac:dyDescent="0.25">
      <c r="B250" s="263">
        <v>44771</v>
      </c>
      <c r="C250" s="162">
        <v>4130.29</v>
      </c>
      <c r="D250" s="94">
        <f t="shared" si="9"/>
        <v>1.4207733466259809E-2</v>
      </c>
      <c r="F250" s="161">
        <v>1281.51</v>
      </c>
      <c r="G250" s="94">
        <f t="shared" si="10"/>
        <v>4.2666406307207971E-2</v>
      </c>
      <c r="J250" s="264">
        <v>126.18</v>
      </c>
      <c r="K250" s="94">
        <f t="shared" si="11"/>
        <v>5.3255425709515913E-2</v>
      </c>
    </row>
    <row r="251" spans="2:11" x14ac:dyDescent="0.25">
      <c r="B251" s="263">
        <v>44774</v>
      </c>
      <c r="C251" s="162">
        <v>4118.63</v>
      </c>
      <c r="D251" s="94">
        <f t="shared" si="9"/>
        <v>-2.8230463236237346E-3</v>
      </c>
      <c r="F251" s="161">
        <v>1288.07</v>
      </c>
      <c r="G251" s="94">
        <f t="shared" si="10"/>
        <v>5.1189612254294303E-3</v>
      </c>
      <c r="J251" s="264">
        <v>118.27</v>
      </c>
      <c r="K251" s="94">
        <f t="shared" si="11"/>
        <v>-6.2688223173244628E-2</v>
      </c>
    </row>
    <row r="252" spans="2:11" x14ac:dyDescent="0.25">
      <c r="B252" s="263">
        <v>44775</v>
      </c>
      <c r="C252" s="162">
        <v>4091.19</v>
      </c>
      <c r="D252" s="94">
        <f t="shared" si="9"/>
        <v>-6.6624095876541833E-3</v>
      </c>
      <c r="F252" s="161">
        <v>1279.01</v>
      </c>
      <c r="G252" s="94">
        <f t="shared" si="10"/>
        <v>-7.0337792200734217E-3</v>
      </c>
      <c r="J252" s="264">
        <v>123.95</v>
      </c>
      <c r="K252" s="94">
        <f t="shared" si="11"/>
        <v>4.8025703897860872E-2</v>
      </c>
    </row>
    <row r="253" spans="2:11" x14ac:dyDescent="0.25">
      <c r="B253" s="263">
        <v>44776</v>
      </c>
      <c r="C253" s="162">
        <v>4155.17</v>
      </c>
      <c r="D253" s="94">
        <f t="shared" si="9"/>
        <v>1.5638481713144525E-2</v>
      </c>
      <c r="F253" s="161">
        <v>1311.19</v>
      </c>
      <c r="G253" s="94">
        <f t="shared" si="10"/>
        <v>2.5160084753051315E-2</v>
      </c>
      <c r="J253" s="264">
        <v>129.91</v>
      </c>
      <c r="K253" s="94">
        <f t="shared" si="11"/>
        <v>4.8083904800322763E-2</v>
      </c>
    </row>
    <row r="254" spans="2:11" x14ac:dyDescent="0.25">
      <c r="B254" s="263">
        <v>44777</v>
      </c>
      <c r="C254" s="162">
        <v>4151.9399999999996</v>
      </c>
      <c r="D254" s="94">
        <f t="shared" si="9"/>
        <v>-7.7734484990998887E-4</v>
      </c>
      <c r="F254" s="161">
        <v>1318.3</v>
      </c>
      <c r="G254" s="94">
        <f t="shared" si="10"/>
        <v>5.4225550835500513E-3</v>
      </c>
      <c r="J254" s="264">
        <v>129.76</v>
      </c>
      <c r="K254" s="94">
        <f t="shared" si="11"/>
        <v>-1.1546455238242714E-3</v>
      </c>
    </row>
    <row r="255" spans="2:11" x14ac:dyDescent="0.25">
      <c r="B255" s="263">
        <v>44778</v>
      </c>
      <c r="C255" s="162">
        <v>4145.1899999999996</v>
      </c>
      <c r="D255" s="94">
        <f t="shared" si="9"/>
        <v>-1.6257460367924415E-3</v>
      </c>
      <c r="F255" s="161">
        <v>1296.45</v>
      </c>
      <c r="G255" s="94">
        <f t="shared" si="10"/>
        <v>-1.6574376090419451E-2</v>
      </c>
      <c r="J255" s="264">
        <v>134.13</v>
      </c>
      <c r="K255" s="94">
        <f t="shared" si="11"/>
        <v>3.3677558569667143E-2</v>
      </c>
    </row>
    <row r="256" spans="2:11" x14ac:dyDescent="0.25">
      <c r="B256" s="263">
        <v>44781</v>
      </c>
      <c r="C256" s="162">
        <v>4140.0600000000004</v>
      </c>
      <c r="D256" s="94">
        <f t="shared" si="9"/>
        <v>-1.2375789770792123E-3</v>
      </c>
      <c r="F256" s="161">
        <v>1300.29</v>
      </c>
      <c r="G256" s="94">
        <f t="shared" si="10"/>
        <v>2.9619345134790365E-3</v>
      </c>
      <c r="J256" s="264">
        <v>133.15</v>
      </c>
      <c r="K256" s="94">
        <f t="shared" si="11"/>
        <v>-7.3063445910682701E-3</v>
      </c>
    </row>
    <row r="257" spans="2:11" x14ac:dyDescent="0.25">
      <c r="B257" s="263">
        <v>44782</v>
      </c>
      <c r="C257" s="162">
        <v>4122.47</v>
      </c>
      <c r="D257" s="94">
        <f t="shared" si="9"/>
        <v>-4.248730694724312E-3</v>
      </c>
      <c r="F257" s="161">
        <v>1280.32</v>
      </c>
      <c r="G257" s="94">
        <f t="shared" si="10"/>
        <v>-1.5358112421075321E-2</v>
      </c>
      <c r="J257" s="264">
        <v>130.97999999999999</v>
      </c>
      <c r="K257" s="94">
        <f t="shared" si="11"/>
        <v>-1.6297408937288926E-2</v>
      </c>
    </row>
    <row r="258" spans="2:11" x14ac:dyDescent="0.25">
      <c r="B258" s="263">
        <v>44783</v>
      </c>
      <c r="C258" s="162">
        <v>4210.24</v>
      </c>
      <c r="D258" s="94">
        <f t="shared" si="9"/>
        <v>2.1290634013103604E-2</v>
      </c>
      <c r="F258" s="161">
        <v>1317.11</v>
      </c>
      <c r="G258" s="94">
        <f t="shared" si="10"/>
        <v>2.8735003749062793E-2</v>
      </c>
      <c r="J258" s="264">
        <v>138.29</v>
      </c>
      <c r="K258" s="94">
        <f t="shared" si="11"/>
        <v>5.5810047335471014E-2</v>
      </c>
    </row>
    <row r="259" spans="2:11" x14ac:dyDescent="0.25">
      <c r="B259" s="263">
        <v>44784</v>
      </c>
      <c r="C259" s="162">
        <v>4207.2700000000004</v>
      </c>
      <c r="D259" s="94">
        <f t="shared" si="9"/>
        <v>-7.0542296876174859E-4</v>
      </c>
      <c r="F259" s="161">
        <v>1308.4100000000001</v>
      </c>
      <c r="G259" s="94">
        <f t="shared" si="10"/>
        <v>-6.6053708498149399E-3</v>
      </c>
      <c r="J259" s="264">
        <v>135.63999999999999</v>
      </c>
      <c r="K259" s="94">
        <f t="shared" si="11"/>
        <v>-1.9162629257357788E-2</v>
      </c>
    </row>
    <row r="260" spans="2:11" x14ac:dyDescent="0.25">
      <c r="B260" s="263">
        <v>44785</v>
      </c>
      <c r="C260" s="162">
        <v>4280.1499999999996</v>
      </c>
      <c r="D260" s="94">
        <f t="shared" si="9"/>
        <v>1.7322396708554288E-2</v>
      </c>
      <c r="F260" s="161">
        <v>1338.45</v>
      </c>
      <c r="G260" s="94">
        <f t="shared" si="10"/>
        <v>2.2959164176366675E-2</v>
      </c>
      <c r="J260" s="264">
        <v>137.78</v>
      </c>
      <c r="K260" s="94">
        <f t="shared" si="11"/>
        <v>1.5777056915364351E-2</v>
      </c>
    </row>
    <row r="261" spans="2:11" x14ac:dyDescent="0.25">
      <c r="B261" s="263">
        <v>44788</v>
      </c>
      <c r="C261" s="162">
        <v>4297.1400000000003</v>
      </c>
      <c r="D261" s="94">
        <f t="shared" si="9"/>
        <v>3.96948705068767E-3</v>
      </c>
      <c r="F261" s="161">
        <v>1346.6</v>
      </c>
      <c r="G261" s="94">
        <f t="shared" si="10"/>
        <v>6.0891329522954063E-3</v>
      </c>
      <c r="J261" s="264">
        <v>135.83000000000001</v>
      </c>
      <c r="K261" s="94">
        <f t="shared" si="11"/>
        <v>-1.4152997532297817E-2</v>
      </c>
    </row>
    <row r="262" spans="2:11" x14ac:dyDescent="0.25">
      <c r="B262" s="263">
        <v>44789</v>
      </c>
      <c r="C262" s="162">
        <v>4305.2</v>
      </c>
      <c r="D262" s="94">
        <f t="shared" si="9"/>
        <v>1.8756661407353103E-3</v>
      </c>
      <c r="F262" s="161">
        <v>1361.28</v>
      </c>
      <c r="G262" s="94">
        <f t="shared" si="10"/>
        <v>1.0901529778702068E-2</v>
      </c>
      <c r="J262" s="264">
        <v>134.53</v>
      </c>
      <c r="K262" s="94">
        <f t="shared" si="11"/>
        <v>-9.5707870131783723E-3</v>
      </c>
    </row>
    <row r="263" spans="2:11" x14ac:dyDescent="0.25">
      <c r="B263" s="263">
        <v>44790</v>
      </c>
      <c r="C263" s="162">
        <v>4274.04</v>
      </c>
      <c r="D263" s="94">
        <f t="shared" si="9"/>
        <v>-7.2377589891293725E-3</v>
      </c>
      <c r="F263" s="161">
        <v>1346.02</v>
      </c>
      <c r="G263" s="94">
        <f t="shared" si="10"/>
        <v>-1.1210037611659618E-2</v>
      </c>
      <c r="J263" s="264">
        <v>130.75</v>
      </c>
      <c r="K263" s="94">
        <f t="shared" si="11"/>
        <v>-2.8097822047127075E-2</v>
      </c>
    </row>
    <row r="264" spans="2:11" x14ac:dyDescent="0.25">
      <c r="B264" s="263">
        <v>44791</v>
      </c>
      <c r="C264" s="162">
        <v>4283.74</v>
      </c>
      <c r="D264" s="94">
        <f t="shared" si="9"/>
        <v>2.2695154935377104E-3</v>
      </c>
      <c r="F264" s="161">
        <v>1345.5</v>
      </c>
      <c r="G264" s="94">
        <f t="shared" si="10"/>
        <v>-3.8632412594163945E-4</v>
      </c>
      <c r="J264" s="264">
        <v>130.34</v>
      </c>
      <c r="K264" s="94">
        <f t="shared" si="11"/>
        <v>-3.1357552581261494E-3</v>
      </c>
    </row>
    <row r="265" spans="2:11" x14ac:dyDescent="0.25">
      <c r="B265" s="263">
        <v>44792</v>
      </c>
      <c r="C265" s="162">
        <v>4228.4799999999996</v>
      </c>
      <c r="D265" s="94">
        <f t="shared" ref="D265:D328" si="12">C265/C264-1</f>
        <v>-1.2899942573545653E-2</v>
      </c>
      <c r="F265" s="161">
        <v>1317.25</v>
      </c>
      <c r="G265" s="94">
        <f t="shared" ref="G265:G328" si="13">F265/F264-1</f>
        <v>-2.09959123002601E-2</v>
      </c>
      <c r="J265" s="264">
        <v>126.22</v>
      </c>
      <c r="K265" s="94">
        <f t="shared" si="11"/>
        <v>-3.1609636335737323E-2</v>
      </c>
    </row>
    <row r="266" spans="2:11" x14ac:dyDescent="0.25">
      <c r="B266" s="263">
        <v>44795</v>
      </c>
      <c r="C266" s="162">
        <v>4137.99</v>
      </c>
      <c r="D266" s="94">
        <f t="shared" si="12"/>
        <v>-2.1400124867564707E-2</v>
      </c>
      <c r="F266" s="161">
        <v>1279.8</v>
      </c>
      <c r="G266" s="94">
        <f t="shared" si="13"/>
        <v>-2.8430442209147921E-2</v>
      </c>
      <c r="J266" s="264">
        <v>118.72</v>
      </c>
      <c r="K266" s="94">
        <f t="shared" ref="K266:K329" si="14">J266/J265-1</f>
        <v>-5.9420060212327708E-2</v>
      </c>
    </row>
    <row r="267" spans="2:11" x14ac:dyDescent="0.25">
      <c r="B267" s="263">
        <v>44796</v>
      </c>
      <c r="C267" s="162">
        <v>4128.7299999999996</v>
      </c>
      <c r="D267" s="94">
        <f t="shared" si="12"/>
        <v>-2.2378014446627903E-3</v>
      </c>
      <c r="F267" s="161">
        <v>1283.9100000000001</v>
      </c>
      <c r="G267" s="94">
        <f t="shared" si="13"/>
        <v>3.2114392873887621E-3</v>
      </c>
      <c r="J267" s="264">
        <v>120.39</v>
      </c>
      <c r="K267" s="94">
        <f t="shared" si="14"/>
        <v>1.4066711590296599E-2</v>
      </c>
    </row>
    <row r="268" spans="2:11" x14ac:dyDescent="0.25">
      <c r="B268" s="263">
        <v>44797</v>
      </c>
      <c r="C268" s="162">
        <v>4140.7700000000004</v>
      </c>
      <c r="D268" s="94">
        <f t="shared" si="12"/>
        <v>2.9161509713642175E-3</v>
      </c>
      <c r="F268" s="161">
        <v>1288.69</v>
      </c>
      <c r="G268" s="94">
        <f t="shared" si="13"/>
        <v>3.7230023911332122E-3</v>
      </c>
      <c r="J268" s="264">
        <v>123.25</v>
      </c>
      <c r="K268" s="94">
        <f t="shared" si="14"/>
        <v>2.3756125924080163E-2</v>
      </c>
    </row>
    <row r="269" spans="2:11" x14ac:dyDescent="0.25">
      <c r="B269" s="263">
        <v>44798</v>
      </c>
      <c r="C269" s="162">
        <v>4199.12</v>
      </c>
      <c r="D269" s="94">
        <f t="shared" si="12"/>
        <v>1.4091582000449021E-2</v>
      </c>
      <c r="F269" s="161">
        <v>1305.3399999999999</v>
      </c>
      <c r="G269" s="94">
        <f t="shared" si="13"/>
        <v>1.2920097152922638E-2</v>
      </c>
      <c r="J269" s="264">
        <v>125.05</v>
      </c>
      <c r="K269" s="94">
        <f t="shared" si="14"/>
        <v>1.4604462474645086E-2</v>
      </c>
    </row>
    <row r="270" spans="2:11" x14ac:dyDescent="0.25">
      <c r="B270" s="263">
        <v>44799</v>
      </c>
      <c r="C270" s="162">
        <v>4057.66</v>
      </c>
      <c r="D270" s="94">
        <f t="shared" si="12"/>
        <v>-3.3688010821315006E-2</v>
      </c>
      <c r="F270" s="161">
        <v>1254.71</v>
      </c>
      <c r="G270" s="94">
        <f t="shared" si="13"/>
        <v>-3.878682948503831E-2</v>
      </c>
      <c r="J270" s="264">
        <v>115.74</v>
      </c>
      <c r="K270" s="94">
        <f t="shared" si="14"/>
        <v>-7.4450219912035154E-2</v>
      </c>
    </row>
    <row r="271" spans="2:11" x14ac:dyDescent="0.25">
      <c r="B271" s="263">
        <v>44802</v>
      </c>
      <c r="C271" s="162">
        <v>4030.61</v>
      </c>
      <c r="D271" s="94">
        <f t="shared" si="12"/>
        <v>-6.6664037893761074E-3</v>
      </c>
      <c r="F271" s="161">
        <v>1247.9100000000001</v>
      </c>
      <c r="G271" s="94">
        <f t="shared" si="13"/>
        <v>-5.4195790262291377E-3</v>
      </c>
      <c r="J271" s="264">
        <v>112.74</v>
      </c>
      <c r="K271" s="94">
        <f t="shared" si="14"/>
        <v>-2.5920165889061653E-2</v>
      </c>
    </row>
    <row r="272" spans="2:11" x14ac:dyDescent="0.25">
      <c r="B272" s="263">
        <v>44803</v>
      </c>
      <c r="C272" s="162">
        <v>3986.16</v>
      </c>
      <c r="D272" s="94">
        <f t="shared" si="12"/>
        <v>-1.1028107408059928E-2</v>
      </c>
      <c r="F272" s="161">
        <v>1234.06</v>
      </c>
      <c r="G272" s="94">
        <f t="shared" si="13"/>
        <v>-1.1098556786947933E-2</v>
      </c>
      <c r="J272" s="264">
        <v>110.59</v>
      </c>
      <c r="K272" s="94">
        <f t="shared" si="14"/>
        <v>-1.9070427532375311E-2</v>
      </c>
    </row>
    <row r="273" spans="2:11" x14ac:dyDescent="0.25">
      <c r="B273" s="263">
        <v>44804</v>
      </c>
      <c r="C273" s="162">
        <v>3955</v>
      </c>
      <c r="D273" s="94">
        <f t="shared" si="12"/>
        <v>-7.8170469825595834E-3</v>
      </c>
      <c r="F273" s="161">
        <v>1221.06</v>
      </c>
      <c r="G273" s="94">
        <f t="shared" si="13"/>
        <v>-1.0534333824935627E-2</v>
      </c>
      <c r="J273" s="264">
        <v>113.86</v>
      </c>
      <c r="K273" s="94">
        <f t="shared" si="14"/>
        <v>2.9568677095578311E-2</v>
      </c>
    </row>
    <row r="274" spans="2:11" x14ac:dyDescent="0.25">
      <c r="B274" s="263">
        <v>44805</v>
      </c>
      <c r="C274" s="162">
        <v>3966.85</v>
      </c>
      <c r="D274" s="94">
        <f t="shared" si="12"/>
        <v>2.9962073324905081E-3</v>
      </c>
      <c r="F274" s="161">
        <v>1231.6300000000001</v>
      </c>
      <c r="G274" s="94">
        <f t="shared" si="13"/>
        <v>8.6564132802648963E-3</v>
      </c>
      <c r="J274" s="264">
        <v>115.67</v>
      </c>
      <c r="K274" s="94">
        <f t="shared" si="14"/>
        <v>1.5896715264359651E-2</v>
      </c>
    </row>
    <row r="275" spans="2:11" x14ac:dyDescent="0.25">
      <c r="B275" s="263">
        <v>44806</v>
      </c>
      <c r="C275" s="162">
        <v>3924.26</v>
      </c>
      <c r="D275" s="94">
        <f t="shared" si="12"/>
        <v>-1.0736478566116592E-2</v>
      </c>
      <c r="F275" s="161">
        <v>1221.3</v>
      </c>
      <c r="G275" s="94">
        <f t="shared" si="13"/>
        <v>-8.3872591606246605E-3</v>
      </c>
      <c r="J275" s="264">
        <v>120.98</v>
      </c>
      <c r="K275" s="94">
        <f t="shared" si="14"/>
        <v>4.5906458027146213E-2</v>
      </c>
    </row>
    <row r="276" spans="2:11" x14ac:dyDescent="0.25">
      <c r="B276" s="263">
        <v>44810</v>
      </c>
      <c r="C276" s="162">
        <v>3908.19</v>
      </c>
      <c r="D276" s="94">
        <f t="shared" si="12"/>
        <v>-4.095039574340209E-3</v>
      </c>
      <c r="F276" s="161">
        <v>1217.26</v>
      </c>
      <c r="G276" s="94">
        <f t="shared" si="13"/>
        <v>-3.3079505445017254E-3</v>
      </c>
      <c r="J276" s="264">
        <v>132.04</v>
      </c>
      <c r="K276" s="94">
        <f t="shared" si="14"/>
        <v>9.1420069432964102E-2</v>
      </c>
    </row>
    <row r="277" spans="2:11" x14ac:dyDescent="0.25">
      <c r="B277" s="263">
        <v>44811</v>
      </c>
      <c r="C277" s="162">
        <v>3979.87</v>
      </c>
      <c r="D277" s="94">
        <f t="shared" si="12"/>
        <v>1.8340971140093032E-2</v>
      </c>
      <c r="F277" s="161">
        <v>1254.7</v>
      </c>
      <c r="G277" s="94">
        <f t="shared" si="13"/>
        <v>3.0757603141481793E-2</v>
      </c>
      <c r="J277" s="264">
        <v>139.76</v>
      </c>
      <c r="K277" s="94">
        <f t="shared" si="14"/>
        <v>5.84671311723719E-2</v>
      </c>
    </row>
    <row r="278" spans="2:11" x14ac:dyDescent="0.25">
      <c r="B278" s="263">
        <v>44812</v>
      </c>
      <c r="C278" s="162">
        <v>4006.18</v>
      </c>
      <c r="D278" s="94">
        <f t="shared" si="12"/>
        <v>6.6107686934497867E-3</v>
      </c>
      <c r="F278" s="161">
        <v>1265.8499999999999</v>
      </c>
      <c r="G278" s="94">
        <f t="shared" si="13"/>
        <v>8.8865864350042845E-3</v>
      </c>
      <c r="J278" s="264">
        <v>145.34</v>
      </c>
      <c r="K278" s="94">
        <f t="shared" si="14"/>
        <v>3.992558672009161E-2</v>
      </c>
    </row>
    <row r="279" spans="2:11" x14ac:dyDescent="0.25">
      <c r="B279" s="263">
        <v>44813</v>
      </c>
      <c r="C279" s="162">
        <v>4067.36</v>
      </c>
      <c r="D279" s="94">
        <f t="shared" si="12"/>
        <v>1.5271405678227268E-2</v>
      </c>
      <c r="F279" s="161">
        <v>1289.97</v>
      </c>
      <c r="G279" s="94">
        <f t="shared" si="13"/>
        <v>1.9054390330607962E-2</v>
      </c>
      <c r="J279" s="264">
        <v>145.79</v>
      </c>
      <c r="K279" s="94">
        <f t="shared" si="14"/>
        <v>3.0961882482454239E-3</v>
      </c>
    </row>
    <row r="280" spans="2:11" x14ac:dyDescent="0.25">
      <c r="B280" s="263">
        <v>44816</v>
      </c>
      <c r="C280" s="162">
        <v>4110.41</v>
      </c>
      <c r="D280" s="94">
        <f t="shared" si="12"/>
        <v>1.058426104401855E-2</v>
      </c>
      <c r="F280" s="161">
        <v>1307.33</v>
      </c>
      <c r="G280" s="94">
        <f t="shared" si="13"/>
        <v>1.3457677310324989E-2</v>
      </c>
      <c r="J280" s="264">
        <v>146.51</v>
      </c>
      <c r="K280" s="94">
        <f t="shared" si="14"/>
        <v>4.938610329926707E-3</v>
      </c>
    </row>
    <row r="281" spans="2:11" x14ac:dyDescent="0.25">
      <c r="B281" s="263">
        <v>44817</v>
      </c>
      <c r="C281" s="162">
        <v>3932.69</v>
      </c>
      <c r="D281" s="94">
        <f t="shared" si="12"/>
        <v>-4.3236562775976095E-2</v>
      </c>
      <c r="F281" s="161">
        <v>1239.1400000000001</v>
      </c>
      <c r="G281" s="94">
        <f t="shared" si="13"/>
        <v>-5.2159745435352844E-2</v>
      </c>
      <c r="J281" s="264">
        <v>140.33000000000001</v>
      </c>
      <c r="K281" s="94">
        <f t="shared" si="14"/>
        <v>-4.2181421063408497E-2</v>
      </c>
    </row>
    <row r="282" spans="2:11" x14ac:dyDescent="0.25">
      <c r="B282" s="263">
        <v>44818</v>
      </c>
      <c r="C282" s="162">
        <v>3946.01</v>
      </c>
      <c r="D282" s="94">
        <f t="shared" si="12"/>
        <v>3.3869946525153516E-3</v>
      </c>
      <c r="F282" s="161">
        <v>1255.2</v>
      </c>
      <c r="G282" s="94">
        <f t="shared" si="13"/>
        <v>1.2960601707635799E-2</v>
      </c>
      <c r="J282" s="264">
        <v>137.86000000000001</v>
      </c>
      <c r="K282" s="94">
        <f t="shared" si="14"/>
        <v>-1.7601368203520318E-2</v>
      </c>
    </row>
    <row r="283" spans="2:11" x14ac:dyDescent="0.25">
      <c r="B283" s="263">
        <v>44819</v>
      </c>
      <c r="C283" s="162">
        <v>3901.35</v>
      </c>
      <c r="D283" s="94">
        <f t="shared" si="12"/>
        <v>-1.1317761485652666E-2</v>
      </c>
      <c r="F283" s="161">
        <v>1246.8399999999999</v>
      </c>
      <c r="G283" s="94">
        <f t="shared" si="13"/>
        <v>-6.6602931803697585E-3</v>
      </c>
      <c r="J283" s="264">
        <v>138.33000000000001</v>
      </c>
      <c r="K283" s="94">
        <f t="shared" si="14"/>
        <v>3.4092557667197987E-3</v>
      </c>
    </row>
    <row r="284" spans="2:11" x14ac:dyDescent="0.25">
      <c r="B284" s="263">
        <v>44820</v>
      </c>
      <c r="C284" s="162">
        <v>3873.33</v>
      </c>
      <c r="D284" s="94">
        <f t="shared" si="12"/>
        <v>-7.1821292629474787E-3</v>
      </c>
      <c r="F284" s="161">
        <v>1236.4000000000001</v>
      </c>
      <c r="G284" s="94">
        <f t="shared" si="13"/>
        <v>-8.3731673671039175E-3</v>
      </c>
      <c r="J284" s="264">
        <v>136.75</v>
      </c>
      <c r="K284" s="94">
        <f t="shared" si="14"/>
        <v>-1.142196197498746E-2</v>
      </c>
    </row>
    <row r="285" spans="2:11" x14ac:dyDescent="0.25">
      <c r="B285" s="263">
        <v>44823</v>
      </c>
      <c r="C285" s="162">
        <v>3899.89</v>
      </c>
      <c r="D285" s="94">
        <f t="shared" si="12"/>
        <v>6.8571487583035662E-3</v>
      </c>
      <c r="F285" s="161">
        <v>1253.01</v>
      </c>
      <c r="G285" s="94">
        <f t="shared" si="13"/>
        <v>1.3434163701067536E-2</v>
      </c>
      <c r="J285" s="264">
        <v>135.62</v>
      </c>
      <c r="K285" s="94">
        <f t="shared" si="14"/>
        <v>-8.2632541133454973E-3</v>
      </c>
    </row>
    <row r="286" spans="2:11" x14ac:dyDescent="0.25">
      <c r="B286" s="263">
        <v>44824</v>
      </c>
      <c r="C286" s="162">
        <v>3855.93</v>
      </c>
      <c r="D286" s="94">
        <f t="shared" si="12"/>
        <v>-1.1272112803181633E-2</v>
      </c>
      <c r="F286" s="161">
        <v>1231.8599999999999</v>
      </c>
      <c r="G286" s="94">
        <f t="shared" si="13"/>
        <v>-1.6879354514329536E-2</v>
      </c>
      <c r="J286" s="264">
        <v>134.37</v>
      </c>
      <c r="K286" s="94">
        <f t="shared" si="14"/>
        <v>-9.2169296563928693E-3</v>
      </c>
    </row>
    <row r="287" spans="2:11" x14ac:dyDescent="0.25">
      <c r="B287" s="263">
        <v>44825</v>
      </c>
      <c r="C287" s="162">
        <v>3789.93</v>
      </c>
      <c r="D287" s="94">
        <f t="shared" si="12"/>
        <v>-1.7116493297336777E-2</v>
      </c>
      <c r="F287" s="161">
        <v>1202.6400000000001</v>
      </c>
      <c r="G287" s="94">
        <f t="shared" si="13"/>
        <v>-2.3720227947980899E-2</v>
      </c>
      <c r="J287" s="264">
        <v>132.62</v>
      </c>
      <c r="K287" s="94">
        <f t="shared" si="14"/>
        <v>-1.3023740418248164E-2</v>
      </c>
    </row>
    <row r="288" spans="2:11" x14ac:dyDescent="0.25">
      <c r="B288" s="263">
        <v>44826</v>
      </c>
      <c r="C288" s="162">
        <v>3757.99</v>
      </c>
      <c r="D288" s="94">
        <f t="shared" si="12"/>
        <v>-8.4275962880581146E-3</v>
      </c>
      <c r="F288" s="161">
        <v>1176.6300000000001</v>
      </c>
      <c r="G288" s="94">
        <f t="shared" si="13"/>
        <v>-2.1627419676711224E-2</v>
      </c>
      <c r="J288" s="264">
        <v>127.39</v>
      </c>
      <c r="K288" s="94">
        <f t="shared" si="14"/>
        <v>-3.9435982506409339E-2</v>
      </c>
    </row>
    <row r="289" spans="2:11" x14ac:dyDescent="0.25">
      <c r="B289" s="263">
        <v>44827</v>
      </c>
      <c r="C289" s="162">
        <v>3693.23</v>
      </c>
      <c r="D289" s="94">
        <f t="shared" si="12"/>
        <v>-1.7232616372049869E-2</v>
      </c>
      <c r="F289" s="161">
        <v>1149.6400000000001</v>
      </c>
      <c r="G289" s="94">
        <f t="shared" si="13"/>
        <v>-2.2938391847904582E-2</v>
      </c>
      <c r="J289" s="264">
        <v>125.25</v>
      </c>
      <c r="K289" s="94">
        <f t="shared" si="14"/>
        <v>-1.6798806813721701E-2</v>
      </c>
    </row>
    <row r="290" spans="2:11" x14ac:dyDescent="0.25">
      <c r="B290" s="263">
        <v>44830</v>
      </c>
      <c r="C290" s="162">
        <v>3655.04</v>
      </c>
      <c r="D290" s="94">
        <f t="shared" si="12"/>
        <v>-1.0340542018774879E-2</v>
      </c>
      <c r="F290" s="161">
        <v>1147.57</v>
      </c>
      <c r="G290" s="94">
        <f t="shared" si="13"/>
        <v>-1.8005636547094861E-3</v>
      </c>
      <c r="J290" s="264">
        <v>123.75</v>
      </c>
      <c r="K290" s="94">
        <f t="shared" si="14"/>
        <v>-1.19760479041916E-2</v>
      </c>
    </row>
    <row r="291" spans="2:11" x14ac:dyDescent="0.25">
      <c r="B291" s="263">
        <v>44831</v>
      </c>
      <c r="C291" s="162">
        <v>3647.29</v>
      </c>
      <c r="D291" s="94">
        <f t="shared" si="12"/>
        <v>-2.1203598319033956E-3</v>
      </c>
      <c r="F291" s="161">
        <v>1150.92</v>
      </c>
      <c r="G291" s="94">
        <f t="shared" si="13"/>
        <v>2.9192118999277206E-3</v>
      </c>
      <c r="J291" s="264">
        <v>125.63</v>
      </c>
      <c r="K291" s="94">
        <f t="shared" si="14"/>
        <v>1.5191919191919201E-2</v>
      </c>
    </row>
    <row r="292" spans="2:11" x14ac:dyDescent="0.25">
      <c r="B292" s="263">
        <v>44832</v>
      </c>
      <c r="C292" s="162">
        <v>3719.04</v>
      </c>
      <c r="D292" s="94">
        <f t="shared" si="12"/>
        <v>1.9672140136923533E-2</v>
      </c>
      <c r="F292" s="161">
        <v>1183.21</v>
      </c>
      <c r="G292" s="94">
        <f t="shared" si="13"/>
        <v>2.8055816216591811E-2</v>
      </c>
      <c r="J292" s="264">
        <v>132.05000000000001</v>
      </c>
      <c r="K292" s="94">
        <f t="shared" si="14"/>
        <v>5.1102443683833654E-2</v>
      </c>
    </row>
    <row r="293" spans="2:11" x14ac:dyDescent="0.25">
      <c r="B293" s="263">
        <v>44833</v>
      </c>
      <c r="C293" s="162">
        <v>3640.47</v>
      </c>
      <c r="D293" s="94">
        <f t="shared" si="12"/>
        <v>-2.1126419721218426E-2</v>
      </c>
      <c r="F293" s="161">
        <v>1143.25</v>
      </c>
      <c r="G293" s="94">
        <f t="shared" si="13"/>
        <v>-3.3772534038759017E-2</v>
      </c>
      <c r="J293" s="264">
        <v>125.89</v>
      </c>
      <c r="K293" s="94">
        <f t="shared" si="14"/>
        <v>-4.6648996592200009E-2</v>
      </c>
    </row>
    <row r="294" spans="2:11" x14ac:dyDescent="0.25">
      <c r="B294" s="263">
        <v>44834</v>
      </c>
      <c r="C294" s="162">
        <v>3585.62</v>
      </c>
      <c r="D294" s="94">
        <f t="shared" si="12"/>
        <v>-1.506673588849794E-2</v>
      </c>
      <c r="F294" s="161">
        <v>1122.31</v>
      </c>
      <c r="G294" s="94">
        <f t="shared" si="13"/>
        <v>-1.8316203804942144E-2</v>
      </c>
      <c r="J294" s="264">
        <v>125.42</v>
      </c>
      <c r="K294" s="94">
        <f t="shared" si="14"/>
        <v>-3.7334180633886715E-3</v>
      </c>
    </row>
    <row r="295" spans="2:11" x14ac:dyDescent="0.25">
      <c r="B295" s="263">
        <v>44837</v>
      </c>
      <c r="C295" s="162">
        <v>3678.43</v>
      </c>
      <c r="D295" s="94">
        <f t="shared" si="12"/>
        <v>2.5883947546031072E-2</v>
      </c>
      <c r="F295" s="161">
        <v>1125.04</v>
      </c>
      <c r="G295" s="94">
        <f t="shared" si="13"/>
        <v>2.4324830038047196E-3</v>
      </c>
      <c r="J295" s="264">
        <v>123.03</v>
      </c>
      <c r="K295" s="94">
        <f t="shared" si="14"/>
        <v>-1.9055971934300753E-2</v>
      </c>
    </row>
    <row r="296" spans="2:11" x14ac:dyDescent="0.25">
      <c r="B296" s="263">
        <v>44838</v>
      </c>
      <c r="C296" s="162">
        <v>3790.93</v>
      </c>
      <c r="D296" s="94">
        <f t="shared" si="12"/>
        <v>3.0583700111188827E-2</v>
      </c>
      <c r="F296" s="161">
        <v>1165.04</v>
      </c>
      <c r="G296" s="94">
        <f t="shared" si="13"/>
        <v>3.5554291402972282E-2</v>
      </c>
      <c r="J296" s="264">
        <v>128.76</v>
      </c>
      <c r="K296" s="94">
        <f t="shared" si="14"/>
        <v>4.6574006339916929E-2</v>
      </c>
    </row>
    <row r="297" spans="2:11" x14ac:dyDescent="0.25">
      <c r="B297" s="263">
        <v>44839</v>
      </c>
      <c r="C297" s="162">
        <v>3783.28</v>
      </c>
      <c r="D297" s="94">
        <f t="shared" si="12"/>
        <v>-2.0179744811957834E-3</v>
      </c>
      <c r="F297" s="161">
        <v>1158.71</v>
      </c>
      <c r="G297" s="94">
        <f t="shared" si="13"/>
        <v>-5.4332898441254995E-3</v>
      </c>
      <c r="J297" s="264">
        <v>137.65</v>
      </c>
      <c r="K297" s="94">
        <f t="shared" si="14"/>
        <v>6.9043181112146801E-2</v>
      </c>
    </row>
    <row r="298" spans="2:11" x14ac:dyDescent="0.25">
      <c r="B298" s="263">
        <v>44840</v>
      </c>
      <c r="C298" s="162">
        <v>3744.52</v>
      </c>
      <c r="D298" s="94">
        <f t="shared" si="12"/>
        <v>-1.0245078344716774E-2</v>
      </c>
      <c r="F298" s="161">
        <v>1150.47</v>
      </c>
      <c r="G298" s="94">
        <f t="shared" si="13"/>
        <v>-7.111356594833973E-3</v>
      </c>
      <c r="J298" s="264">
        <v>133.04</v>
      </c>
      <c r="K298" s="94">
        <f t="shared" si="14"/>
        <v>-3.3490737377406599E-2</v>
      </c>
    </row>
    <row r="299" spans="2:11" x14ac:dyDescent="0.25">
      <c r="B299" s="263">
        <v>44841</v>
      </c>
      <c r="C299" s="162">
        <v>3639.66</v>
      </c>
      <c r="D299" s="94">
        <f t="shared" si="12"/>
        <v>-2.8003589245083504E-2</v>
      </c>
      <c r="F299" s="161">
        <v>1109.73</v>
      </c>
      <c r="G299" s="94">
        <f t="shared" si="13"/>
        <v>-3.5411614383686674E-2</v>
      </c>
      <c r="J299" s="264">
        <v>128.32</v>
      </c>
      <c r="K299" s="94">
        <f t="shared" si="14"/>
        <v>-3.5478051713770276E-2</v>
      </c>
    </row>
    <row r="300" spans="2:11" x14ac:dyDescent="0.25">
      <c r="B300" s="263">
        <v>44844</v>
      </c>
      <c r="C300" s="162">
        <v>3612.39</v>
      </c>
      <c r="D300" s="94">
        <f t="shared" si="12"/>
        <v>-7.4924580867443691E-3</v>
      </c>
      <c r="F300" s="161">
        <v>1102.95</v>
      </c>
      <c r="G300" s="94">
        <f t="shared" si="13"/>
        <v>-6.1095942256224056E-3</v>
      </c>
      <c r="J300" s="264">
        <v>130.93</v>
      </c>
      <c r="K300" s="94">
        <f t="shared" si="14"/>
        <v>2.0339775561097451E-2</v>
      </c>
    </row>
    <row r="301" spans="2:11" x14ac:dyDescent="0.25">
      <c r="B301" s="263">
        <v>44845</v>
      </c>
      <c r="C301" s="162">
        <v>3588.84</v>
      </c>
      <c r="D301" s="94">
        <f t="shared" si="12"/>
        <v>-6.5192296512833758E-3</v>
      </c>
      <c r="F301" s="161">
        <v>1093.99</v>
      </c>
      <c r="G301" s="94">
        <f t="shared" si="13"/>
        <v>-8.1236683439865898E-3</v>
      </c>
      <c r="J301" s="264">
        <v>126.32</v>
      </c>
      <c r="K301" s="94">
        <f t="shared" si="14"/>
        <v>-3.5209654013595104E-2</v>
      </c>
    </row>
    <row r="302" spans="2:11" x14ac:dyDescent="0.25">
      <c r="B302" s="263">
        <v>44846</v>
      </c>
      <c r="C302" s="162">
        <v>3577.03</v>
      </c>
      <c r="D302" s="94">
        <f t="shared" si="12"/>
        <v>-3.2907569019515748E-3</v>
      </c>
      <c r="F302" s="161">
        <v>1096.54</v>
      </c>
      <c r="G302" s="94">
        <f t="shared" si="13"/>
        <v>2.3309171016188124E-3</v>
      </c>
      <c r="J302" s="264">
        <v>123.34</v>
      </c>
      <c r="K302" s="94">
        <f t="shared" si="14"/>
        <v>-2.3590880303989814E-2</v>
      </c>
    </row>
    <row r="303" spans="2:11" x14ac:dyDescent="0.25">
      <c r="B303" s="263">
        <v>44847</v>
      </c>
      <c r="C303" s="162">
        <v>3669.91</v>
      </c>
      <c r="D303" s="94">
        <f t="shared" si="12"/>
        <v>2.5965675434648228E-2</v>
      </c>
      <c r="F303" s="161">
        <v>1107.27</v>
      </c>
      <c r="G303" s="94">
        <f t="shared" si="13"/>
        <v>9.7853247487551531E-3</v>
      </c>
      <c r="J303" s="264">
        <v>122.76</v>
      </c>
      <c r="K303" s="94">
        <f t="shared" si="14"/>
        <v>-4.7024485162964202E-3</v>
      </c>
    </row>
    <row r="304" spans="2:11" x14ac:dyDescent="0.25">
      <c r="B304" s="263">
        <v>44848</v>
      </c>
      <c r="C304" s="162">
        <v>3583.07</v>
      </c>
      <c r="D304" s="94">
        <f t="shared" si="12"/>
        <v>-2.3662705624933444E-2</v>
      </c>
      <c r="F304" s="161">
        <v>1064.3499999999999</v>
      </c>
      <c r="G304" s="94">
        <f t="shared" si="13"/>
        <v>-3.87620002348118E-2</v>
      </c>
      <c r="J304" s="264">
        <v>113.36</v>
      </c>
      <c r="K304" s="94">
        <f t="shared" si="14"/>
        <v>-7.6572173346366901E-2</v>
      </c>
    </row>
    <row r="305" spans="2:11" x14ac:dyDescent="0.25">
      <c r="B305" s="263">
        <v>44851</v>
      </c>
      <c r="C305" s="162">
        <v>3677.95</v>
      </c>
      <c r="D305" s="94">
        <f t="shared" si="12"/>
        <v>2.6480085513260976E-2</v>
      </c>
      <c r="F305" s="161">
        <v>1109.3699999999999</v>
      </c>
      <c r="G305" s="94">
        <f t="shared" si="13"/>
        <v>4.2298116221167747E-2</v>
      </c>
      <c r="J305" s="264">
        <v>122.33</v>
      </c>
      <c r="K305" s="94">
        <f t="shared" si="14"/>
        <v>7.912844036697253E-2</v>
      </c>
    </row>
    <row r="306" spans="2:11" x14ac:dyDescent="0.25">
      <c r="B306" s="263">
        <v>44852</v>
      </c>
      <c r="C306" s="162">
        <v>3719.98</v>
      </c>
      <c r="D306" s="94">
        <f t="shared" si="12"/>
        <v>1.1427561549232745E-2</v>
      </c>
      <c r="F306" s="161">
        <v>1125.0999999999999</v>
      </c>
      <c r="G306" s="94">
        <f t="shared" si="13"/>
        <v>1.4179218835915997E-2</v>
      </c>
      <c r="J306" s="264">
        <v>124.74</v>
      </c>
      <c r="K306" s="94">
        <f t="shared" si="14"/>
        <v>1.9700809286356646E-2</v>
      </c>
    </row>
    <row r="307" spans="2:11" x14ac:dyDescent="0.25">
      <c r="B307" s="263">
        <v>44853</v>
      </c>
      <c r="C307" s="162">
        <v>3695.16</v>
      </c>
      <c r="D307" s="94">
        <f t="shared" si="12"/>
        <v>-6.6720788821446053E-3</v>
      </c>
      <c r="F307" s="161">
        <v>1111.8699999999999</v>
      </c>
      <c r="G307" s="94">
        <f t="shared" si="13"/>
        <v>-1.175895475957689E-2</v>
      </c>
      <c r="J307" s="264">
        <v>123.07</v>
      </c>
      <c r="K307" s="94">
        <f t="shared" si="14"/>
        <v>-1.3387846721180097E-2</v>
      </c>
    </row>
    <row r="308" spans="2:11" x14ac:dyDescent="0.25">
      <c r="B308" s="263">
        <v>44854</v>
      </c>
      <c r="C308" s="162">
        <v>3665.78</v>
      </c>
      <c r="D308" s="94">
        <f t="shared" si="12"/>
        <v>-7.9509412312320782E-3</v>
      </c>
      <c r="F308" s="161">
        <v>1092.49</v>
      </c>
      <c r="G308" s="94">
        <f t="shared" si="13"/>
        <v>-1.7430095244947541E-2</v>
      </c>
      <c r="J308" s="264">
        <v>117.22</v>
      </c>
      <c r="K308" s="94">
        <f t="shared" si="14"/>
        <v>-4.753392378321275E-2</v>
      </c>
    </row>
    <row r="309" spans="2:11" x14ac:dyDescent="0.25">
      <c r="B309" s="263">
        <v>44855</v>
      </c>
      <c r="C309" s="162">
        <v>3752.75</v>
      </c>
      <c r="D309" s="94">
        <f t="shared" si="12"/>
        <v>2.3724828003862664E-2</v>
      </c>
      <c r="F309" s="161">
        <v>1124.42</v>
      </c>
      <c r="G309" s="94">
        <f t="shared" si="13"/>
        <v>2.922681214473366E-2</v>
      </c>
      <c r="J309" s="264">
        <v>125.88</v>
      </c>
      <c r="K309" s="94">
        <f t="shared" si="14"/>
        <v>7.3878177785360766E-2</v>
      </c>
    </row>
    <row r="310" spans="2:11" x14ac:dyDescent="0.25">
      <c r="B310" s="263">
        <v>44858</v>
      </c>
      <c r="C310" s="162">
        <v>3797.34</v>
      </c>
      <c r="D310" s="94">
        <f t="shared" si="12"/>
        <v>1.1881953234294862E-2</v>
      </c>
      <c r="F310" s="161">
        <v>1129.8</v>
      </c>
      <c r="G310" s="94">
        <f t="shared" si="13"/>
        <v>4.7846889952152249E-3</v>
      </c>
      <c r="J310" s="264">
        <v>128.05000000000001</v>
      </c>
      <c r="K310" s="94">
        <f t="shared" si="14"/>
        <v>1.7238639974579195E-2</v>
      </c>
    </row>
    <row r="311" spans="2:11" x14ac:dyDescent="0.25">
      <c r="B311" s="263">
        <v>44859</v>
      </c>
      <c r="C311" s="162">
        <v>3859.11</v>
      </c>
      <c r="D311" s="94">
        <f t="shared" si="12"/>
        <v>1.6266649812763712E-2</v>
      </c>
      <c r="F311" s="161">
        <v>1156.26</v>
      </c>
      <c r="G311" s="94">
        <f t="shared" si="13"/>
        <v>2.3420074349442377E-2</v>
      </c>
      <c r="J311" s="264">
        <v>134.85</v>
      </c>
      <c r="K311" s="94">
        <f t="shared" si="14"/>
        <v>5.3104256149941298E-2</v>
      </c>
    </row>
    <row r="312" spans="2:11" x14ac:dyDescent="0.25">
      <c r="B312" s="263">
        <v>44860</v>
      </c>
      <c r="C312" s="162">
        <v>3830.6</v>
      </c>
      <c r="D312" s="94">
        <f t="shared" si="12"/>
        <v>-7.3877137474703813E-3</v>
      </c>
      <c r="F312" s="161">
        <v>1144.03</v>
      </c>
      <c r="G312" s="94">
        <f t="shared" si="13"/>
        <v>-1.0577205818760538E-2</v>
      </c>
      <c r="J312" s="264">
        <v>155.44999999999999</v>
      </c>
      <c r="K312" s="94">
        <f t="shared" si="14"/>
        <v>0.15276232851316274</v>
      </c>
    </row>
    <row r="313" spans="2:11" x14ac:dyDescent="0.25">
      <c r="B313" s="263">
        <v>44861</v>
      </c>
      <c r="C313" s="162">
        <v>3807.3</v>
      </c>
      <c r="D313" s="94">
        <f t="shared" si="12"/>
        <v>-6.0825980264187507E-3</v>
      </c>
      <c r="F313" s="161">
        <v>1135.78</v>
      </c>
      <c r="G313" s="94">
        <f t="shared" si="13"/>
        <v>-7.2113493527267147E-3</v>
      </c>
      <c r="J313" s="264">
        <v>158.38999999999999</v>
      </c>
      <c r="K313" s="94">
        <f t="shared" si="14"/>
        <v>1.8912833708587984E-2</v>
      </c>
    </row>
    <row r="314" spans="2:11" x14ac:dyDescent="0.25">
      <c r="B314" s="263">
        <v>44862</v>
      </c>
      <c r="C314" s="162">
        <v>3901.06</v>
      </c>
      <c r="D314" s="94">
        <f t="shared" si="12"/>
        <v>2.4626375646783716E-2</v>
      </c>
      <c r="F314" s="161">
        <v>1132.3699999999999</v>
      </c>
      <c r="G314" s="94">
        <f t="shared" si="13"/>
        <v>-3.0023420028527648E-3</v>
      </c>
      <c r="J314" s="264">
        <v>160.75</v>
      </c>
      <c r="K314" s="94">
        <f t="shared" si="14"/>
        <v>1.4899930551171225E-2</v>
      </c>
    </row>
    <row r="315" spans="2:11" x14ac:dyDescent="0.25">
      <c r="B315" s="263">
        <v>44865</v>
      </c>
      <c r="C315" s="162">
        <v>3871.98</v>
      </c>
      <c r="D315" s="94">
        <f t="shared" si="12"/>
        <v>-7.4543841930141408E-3</v>
      </c>
      <c r="F315" s="161">
        <v>1124.52</v>
      </c>
      <c r="G315" s="94">
        <f t="shared" si="13"/>
        <v>-6.932363096867511E-3</v>
      </c>
      <c r="J315" s="264">
        <v>158.38999999999999</v>
      </c>
      <c r="K315" s="94">
        <f t="shared" si="14"/>
        <v>-1.4681181959564582E-2</v>
      </c>
    </row>
    <row r="316" spans="2:11" x14ac:dyDescent="0.25">
      <c r="B316" s="263">
        <v>44866</v>
      </c>
      <c r="C316" s="162">
        <v>3856.1</v>
      </c>
      <c r="D316" s="94">
        <f t="shared" si="12"/>
        <v>-4.10126085362017E-3</v>
      </c>
      <c r="F316" s="161">
        <v>1109.3399999999999</v>
      </c>
      <c r="G316" s="94">
        <f t="shared" si="13"/>
        <v>-1.3499092946323787E-2</v>
      </c>
      <c r="J316" s="264">
        <v>154.96</v>
      </c>
      <c r="K316" s="94">
        <f t="shared" si="14"/>
        <v>-2.1655407538354599E-2</v>
      </c>
    </row>
    <row r="317" spans="2:11" x14ac:dyDescent="0.25">
      <c r="B317" s="263">
        <v>44867</v>
      </c>
      <c r="C317" s="162">
        <v>3759.69</v>
      </c>
      <c r="D317" s="94">
        <f t="shared" si="12"/>
        <v>-2.5001944970306722E-2</v>
      </c>
      <c r="F317" s="161">
        <v>1067.26</v>
      </c>
      <c r="G317" s="94">
        <f t="shared" si="13"/>
        <v>-3.793246434817088E-2</v>
      </c>
      <c r="J317" s="264">
        <v>148.82</v>
      </c>
      <c r="K317" s="94">
        <f t="shared" si="14"/>
        <v>-3.9623128549303166E-2</v>
      </c>
    </row>
    <row r="318" spans="2:11" x14ac:dyDescent="0.25">
      <c r="B318" s="263">
        <v>44868</v>
      </c>
      <c r="C318" s="162">
        <v>3719.89</v>
      </c>
      <c r="D318" s="94">
        <f t="shared" si="12"/>
        <v>-1.0585979163175718E-2</v>
      </c>
      <c r="F318" s="161">
        <v>1057.8399999999999</v>
      </c>
      <c r="G318" s="94">
        <f t="shared" si="13"/>
        <v>-8.8263403481814162E-3</v>
      </c>
      <c r="J318" s="264">
        <v>152.38999999999999</v>
      </c>
      <c r="K318" s="94">
        <f t="shared" si="14"/>
        <v>2.3988711194731893E-2</v>
      </c>
    </row>
    <row r="319" spans="2:11" x14ac:dyDescent="0.25">
      <c r="B319" s="263">
        <v>44869</v>
      </c>
      <c r="C319" s="162">
        <v>3770.55</v>
      </c>
      <c r="D319" s="94">
        <f t="shared" si="12"/>
        <v>1.3618682272863003E-2</v>
      </c>
      <c r="F319" s="161">
        <v>1066.96</v>
      </c>
      <c r="G319" s="94">
        <f t="shared" si="13"/>
        <v>8.6213416017546507E-3</v>
      </c>
      <c r="J319" s="264">
        <v>153.38</v>
      </c>
      <c r="K319" s="94">
        <f t="shared" si="14"/>
        <v>6.4964892709495903E-3</v>
      </c>
    </row>
    <row r="320" spans="2:11" x14ac:dyDescent="0.25">
      <c r="B320" s="263">
        <v>44872</v>
      </c>
      <c r="C320" s="162">
        <v>3806.8</v>
      </c>
      <c r="D320" s="94">
        <f t="shared" si="12"/>
        <v>9.6139820450598101E-3</v>
      </c>
      <c r="F320" s="161">
        <v>1060.3900000000001</v>
      </c>
      <c r="G320" s="94">
        <f t="shared" si="13"/>
        <v>-6.1576816375495946E-3</v>
      </c>
      <c r="J320" s="264">
        <v>155.77000000000001</v>
      </c>
      <c r="K320" s="94">
        <f t="shared" si="14"/>
        <v>1.5582214108749604E-2</v>
      </c>
    </row>
    <row r="321" spans="2:11" x14ac:dyDescent="0.25">
      <c r="B321" s="263">
        <v>44873</v>
      </c>
      <c r="C321" s="162">
        <v>3828.11</v>
      </c>
      <c r="D321" s="94">
        <f t="shared" si="12"/>
        <v>5.5978774823999267E-3</v>
      </c>
      <c r="F321" s="161">
        <v>1057.18</v>
      </c>
      <c r="G321" s="94">
        <f t="shared" si="13"/>
        <v>-3.0271881100349951E-3</v>
      </c>
      <c r="J321" s="264">
        <v>157.51</v>
      </c>
      <c r="K321" s="94">
        <f t="shared" si="14"/>
        <v>1.1170315208319792E-2</v>
      </c>
    </row>
    <row r="322" spans="2:11" x14ac:dyDescent="0.25">
      <c r="B322" s="263">
        <v>44874</v>
      </c>
      <c r="C322" s="162">
        <v>3748.57</v>
      </c>
      <c r="D322" s="94">
        <f t="shared" si="12"/>
        <v>-2.0777877333723382E-2</v>
      </c>
      <c r="F322" s="161">
        <v>1024.24</v>
      </c>
      <c r="G322" s="94">
        <f t="shared" si="13"/>
        <v>-3.1158364706105002E-2</v>
      </c>
      <c r="J322" s="264">
        <v>156</v>
      </c>
      <c r="K322" s="94">
        <f t="shared" si="14"/>
        <v>-9.5866929083867625E-3</v>
      </c>
    </row>
    <row r="323" spans="2:11" x14ac:dyDescent="0.25">
      <c r="B323" s="263">
        <v>44875</v>
      </c>
      <c r="C323" s="162">
        <v>3956.37</v>
      </c>
      <c r="D323" s="94">
        <f t="shared" si="12"/>
        <v>5.5434472345454289E-2</v>
      </c>
      <c r="F323" s="161">
        <v>1103.07</v>
      </c>
      <c r="G323" s="94">
        <f t="shared" si="13"/>
        <v>7.6964383347652765E-2</v>
      </c>
      <c r="J323" s="264">
        <v>167.23</v>
      </c>
      <c r="K323" s="94">
        <f t="shared" si="14"/>
        <v>7.1987179487179365E-2</v>
      </c>
    </row>
    <row r="324" spans="2:11" x14ac:dyDescent="0.25">
      <c r="B324" s="263">
        <v>44876</v>
      </c>
      <c r="C324" s="162">
        <v>3992.93</v>
      </c>
      <c r="D324" s="94">
        <f t="shared" si="12"/>
        <v>9.2407939601200084E-3</v>
      </c>
      <c r="F324" s="161">
        <v>1130.23</v>
      </c>
      <c r="G324" s="94">
        <f t="shared" si="13"/>
        <v>2.4622190794781895E-2</v>
      </c>
      <c r="J324" s="264">
        <v>166.91</v>
      </c>
      <c r="K324" s="94">
        <f t="shared" si="14"/>
        <v>-1.9135322609579175E-3</v>
      </c>
    </row>
    <row r="325" spans="2:11" x14ac:dyDescent="0.25">
      <c r="B325" s="263">
        <v>44879</v>
      </c>
      <c r="C325" s="162">
        <v>3957.25</v>
      </c>
      <c r="D325" s="94">
        <f t="shared" si="12"/>
        <v>-8.9357940159231486E-3</v>
      </c>
      <c r="F325" s="161">
        <v>1110.93</v>
      </c>
      <c r="G325" s="94">
        <f t="shared" si="13"/>
        <v>-1.7076170337011032E-2</v>
      </c>
      <c r="J325" s="264">
        <v>166.38</v>
      </c>
      <c r="K325" s="94">
        <f t="shared" si="14"/>
        <v>-3.1753639686058488E-3</v>
      </c>
    </row>
    <row r="326" spans="2:11" x14ac:dyDescent="0.25">
      <c r="B326" s="263">
        <v>44880</v>
      </c>
      <c r="C326" s="162">
        <v>3991.73</v>
      </c>
      <c r="D326" s="94">
        <f t="shared" si="12"/>
        <v>8.7131214858804373E-3</v>
      </c>
      <c r="F326" s="161">
        <v>1124.69</v>
      </c>
      <c r="G326" s="94">
        <f t="shared" si="13"/>
        <v>1.2386018921084041E-2</v>
      </c>
      <c r="J326" s="264">
        <v>167.03</v>
      </c>
      <c r="K326" s="94">
        <f t="shared" si="14"/>
        <v>3.9067195576392155E-3</v>
      </c>
    </row>
    <row r="327" spans="2:11" x14ac:dyDescent="0.25">
      <c r="B327" s="263">
        <v>44881</v>
      </c>
      <c r="C327" s="162">
        <v>3958.79</v>
      </c>
      <c r="D327" s="94">
        <f t="shared" si="12"/>
        <v>-8.2520611363995355E-3</v>
      </c>
      <c r="F327" s="161">
        <v>1108.27</v>
      </c>
      <c r="G327" s="94">
        <f t="shared" si="13"/>
        <v>-1.4599578550533954E-2</v>
      </c>
      <c r="J327" s="264">
        <v>164.13</v>
      </c>
      <c r="K327" s="94">
        <f t="shared" si="14"/>
        <v>-1.7362150511884167E-2</v>
      </c>
    </row>
    <row r="328" spans="2:11" x14ac:dyDescent="0.25">
      <c r="B328" s="263">
        <v>44882</v>
      </c>
      <c r="C328" s="162">
        <v>3946.56</v>
      </c>
      <c r="D328" s="94">
        <f t="shared" si="12"/>
        <v>-3.0893277996559831E-3</v>
      </c>
      <c r="F328" s="161">
        <v>1094.22</v>
      </c>
      <c r="G328" s="94">
        <f t="shared" si="13"/>
        <v>-1.2677416153103471E-2</v>
      </c>
      <c r="J328" s="264">
        <v>159.88</v>
      </c>
      <c r="K328" s="94">
        <f t="shared" si="14"/>
        <v>-2.5894108328763821E-2</v>
      </c>
    </row>
    <row r="329" spans="2:11" x14ac:dyDescent="0.25">
      <c r="B329" s="263">
        <v>44883</v>
      </c>
      <c r="C329" s="162">
        <v>3965.34</v>
      </c>
      <c r="D329" s="94">
        <f t="shared" ref="D329:D392" si="15">C329/C328-1</f>
        <v>4.7585745560692061E-3</v>
      </c>
      <c r="F329" s="161">
        <v>1094.6500000000001</v>
      </c>
      <c r="G329" s="94">
        <f t="shared" ref="G329:G392" si="16">F329/F328-1</f>
        <v>3.9297399060522764E-4</v>
      </c>
      <c r="J329" s="264">
        <v>160.19999999999999</v>
      </c>
      <c r="K329" s="94">
        <f t="shared" si="14"/>
        <v>2.0015011258442961E-3</v>
      </c>
    </row>
    <row r="330" spans="2:11" x14ac:dyDescent="0.25">
      <c r="B330" s="263">
        <v>44886</v>
      </c>
      <c r="C330" s="162">
        <v>3949.94</v>
      </c>
      <c r="D330" s="94">
        <f t="shared" si="15"/>
        <v>-3.8836518432215916E-3</v>
      </c>
      <c r="F330" s="161">
        <v>1079.21</v>
      </c>
      <c r="G330" s="94">
        <f t="shared" si="16"/>
        <v>-1.4104965057324281E-2</v>
      </c>
      <c r="J330" s="264">
        <v>157.33000000000001</v>
      </c>
      <c r="K330" s="94">
        <f t="shared" ref="K330:K393" si="17">J330/J329-1</f>
        <v>-1.7915106117353141E-2</v>
      </c>
    </row>
    <row r="331" spans="2:11" x14ac:dyDescent="0.25">
      <c r="B331" s="263">
        <v>44887</v>
      </c>
      <c r="C331" s="162">
        <v>4003.58</v>
      </c>
      <c r="D331" s="94">
        <f t="shared" si="15"/>
        <v>1.3579953113211918E-2</v>
      </c>
      <c r="F331" s="161">
        <v>1091.8900000000001</v>
      </c>
      <c r="G331" s="94">
        <f t="shared" si="16"/>
        <v>1.1749335161831409E-2</v>
      </c>
      <c r="J331" s="264">
        <v>158.03</v>
      </c>
      <c r="K331" s="94">
        <f t="shared" si="17"/>
        <v>4.4492468060763901E-3</v>
      </c>
    </row>
    <row r="332" spans="2:11" x14ac:dyDescent="0.25">
      <c r="B332" s="263">
        <v>44888</v>
      </c>
      <c r="C332" s="162">
        <v>4027.26</v>
      </c>
      <c r="D332" s="94">
        <f t="shared" si="15"/>
        <v>5.9147063378277576E-3</v>
      </c>
      <c r="F332" s="161">
        <v>1106.3699999999999</v>
      </c>
      <c r="G332" s="94">
        <f t="shared" si="16"/>
        <v>1.3261409116302803E-2</v>
      </c>
      <c r="J332" s="264">
        <v>158.5</v>
      </c>
      <c r="K332" s="94">
        <f t="shared" si="17"/>
        <v>2.9741188381953165E-3</v>
      </c>
    </row>
    <row r="333" spans="2:11" x14ac:dyDescent="0.25">
      <c r="B333" s="263">
        <v>44890</v>
      </c>
      <c r="C333" s="162">
        <v>4026.12</v>
      </c>
      <c r="D333" s="94">
        <f t="shared" si="15"/>
        <v>-2.830708720074071E-4</v>
      </c>
      <c r="F333" s="161">
        <v>1107.04</v>
      </c>
      <c r="G333" s="94">
        <f t="shared" si="16"/>
        <v>6.055840270433599E-4</v>
      </c>
      <c r="J333" s="264">
        <v>155.46</v>
      </c>
      <c r="K333" s="94">
        <f t="shared" si="17"/>
        <v>-1.9179810725551971E-2</v>
      </c>
    </row>
    <row r="334" spans="2:11" x14ac:dyDescent="0.25">
      <c r="B334" s="263">
        <v>44893</v>
      </c>
      <c r="C334" s="162">
        <v>3963.94</v>
      </c>
      <c r="D334" s="94">
        <f t="shared" si="15"/>
        <v>-1.5444149702443011E-2</v>
      </c>
      <c r="F334" s="161">
        <v>1100.3800000000001</v>
      </c>
      <c r="G334" s="94">
        <f t="shared" si="16"/>
        <v>-6.0160427807485206E-3</v>
      </c>
      <c r="J334" s="264">
        <v>152.66999999999999</v>
      </c>
      <c r="K334" s="94">
        <f t="shared" si="17"/>
        <v>-1.7946738710922561E-2</v>
      </c>
    </row>
    <row r="335" spans="2:11" x14ac:dyDescent="0.25">
      <c r="B335" s="263">
        <v>44894</v>
      </c>
      <c r="C335" s="162">
        <v>3957.63</v>
      </c>
      <c r="D335" s="94">
        <f t="shared" si="15"/>
        <v>-1.5918505325509535E-3</v>
      </c>
      <c r="F335" s="161">
        <v>1095.49</v>
      </c>
      <c r="G335" s="94">
        <f t="shared" si="16"/>
        <v>-4.4439193733074589E-3</v>
      </c>
      <c r="J335" s="264">
        <v>154.94999999999999</v>
      </c>
      <c r="K335" s="94">
        <f t="shared" si="17"/>
        <v>1.4934171742974955E-2</v>
      </c>
    </row>
    <row r="336" spans="2:11" x14ac:dyDescent="0.25">
      <c r="B336" s="263">
        <v>44895</v>
      </c>
      <c r="C336" s="162">
        <v>4080.11</v>
      </c>
      <c r="D336" s="94">
        <f t="shared" si="15"/>
        <v>3.0947814727501077E-2</v>
      </c>
      <c r="F336" s="161">
        <v>1133.6500000000001</v>
      </c>
      <c r="G336" s="94">
        <f t="shared" si="16"/>
        <v>3.4833727373138945E-2</v>
      </c>
      <c r="J336" s="264">
        <v>165.51</v>
      </c>
      <c r="K336" s="94">
        <f t="shared" si="17"/>
        <v>6.8151016456921676E-2</v>
      </c>
    </row>
    <row r="337" spans="2:11" x14ac:dyDescent="0.25">
      <c r="B337" s="263">
        <v>44896</v>
      </c>
      <c r="C337" s="162">
        <v>4076.57</v>
      </c>
      <c r="D337" s="94">
        <f t="shared" si="15"/>
        <v>-8.6762366700898763E-4</v>
      </c>
      <c r="F337" s="161">
        <v>1132.42</v>
      </c>
      <c r="G337" s="94">
        <f t="shared" si="16"/>
        <v>-1.0849909584087492E-3</v>
      </c>
      <c r="J337" s="264">
        <v>164.82</v>
      </c>
      <c r="K337" s="94">
        <f t="shared" si="17"/>
        <v>-4.1689323907920794E-3</v>
      </c>
    </row>
    <row r="338" spans="2:11" x14ac:dyDescent="0.25">
      <c r="B338" s="263">
        <v>44897</v>
      </c>
      <c r="C338" s="162">
        <v>4071.7</v>
      </c>
      <c r="D338" s="94">
        <f t="shared" si="15"/>
        <v>-1.1946317615054713E-3</v>
      </c>
      <c r="F338" s="161">
        <v>1130.29</v>
      </c>
      <c r="G338" s="94">
        <f t="shared" si="16"/>
        <v>-1.8809275710426343E-3</v>
      </c>
      <c r="J338" s="264">
        <v>163.02000000000001</v>
      </c>
      <c r="K338" s="94">
        <f t="shared" si="17"/>
        <v>-1.0921004732435291E-2</v>
      </c>
    </row>
    <row r="339" spans="2:11" x14ac:dyDescent="0.25">
      <c r="B339" s="263">
        <v>44900</v>
      </c>
      <c r="C339" s="162">
        <v>3998.84</v>
      </c>
      <c r="D339" s="94">
        <f t="shared" si="15"/>
        <v>-1.7894245646781326E-2</v>
      </c>
      <c r="F339" s="161">
        <v>1096.92</v>
      </c>
      <c r="G339" s="94">
        <f t="shared" si="16"/>
        <v>-2.9523396650417033E-2</v>
      </c>
      <c r="J339" s="264">
        <v>157.84</v>
      </c>
      <c r="K339" s="94">
        <f t="shared" si="17"/>
        <v>-3.1775242301558149E-2</v>
      </c>
    </row>
    <row r="340" spans="2:11" x14ac:dyDescent="0.25">
      <c r="B340" s="263">
        <v>44901</v>
      </c>
      <c r="C340" s="162">
        <v>3941.26</v>
      </c>
      <c r="D340" s="94">
        <f t="shared" si="15"/>
        <v>-1.4399175760970717E-2</v>
      </c>
      <c r="F340" s="161">
        <v>1079.1199999999999</v>
      </c>
      <c r="G340" s="94">
        <f t="shared" si="16"/>
        <v>-1.6227254494402654E-2</v>
      </c>
      <c r="J340" s="264">
        <v>149.71</v>
      </c>
      <c r="K340" s="94">
        <f t="shared" si="17"/>
        <v>-5.1507856056766332E-2</v>
      </c>
    </row>
    <row r="341" spans="2:11" x14ac:dyDescent="0.25">
      <c r="B341" s="263">
        <v>44902</v>
      </c>
      <c r="C341" s="162">
        <v>3933.92</v>
      </c>
      <c r="D341" s="94">
        <f t="shared" si="15"/>
        <v>-1.8623485890298941E-3</v>
      </c>
      <c r="F341" s="161">
        <v>1073.98</v>
      </c>
      <c r="G341" s="94">
        <f t="shared" si="16"/>
        <v>-4.7631403365704372E-3</v>
      </c>
      <c r="J341" s="264">
        <v>153.84</v>
      </c>
      <c r="K341" s="94">
        <f t="shared" si="17"/>
        <v>2.7586667557277345E-2</v>
      </c>
    </row>
    <row r="342" spans="2:11" x14ac:dyDescent="0.25">
      <c r="B342" s="263">
        <v>44903</v>
      </c>
      <c r="C342" s="162">
        <v>3963.51</v>
      </c>
      <c r="D342" s="94">
        <f t="shared" si="15"/>
        <v>7.5217594663847809E-3</v>
      </c>
      <c r="F342" s="161">
        <v>1085.24</v>
      </c>
      <c r="G342" s="94">
        <f t="shared" si="16"/>
        <v>1.0484366561760883E-2</v>
      </c>
      <c r="J342" s="264">
        <v>154.85</v>
      </c>
      <c r="K342" s="94">
        <f t="shared" si="17"/>
        <v>6.5652626105043854E-3</v>
      </c>
    </row>
    <row r="343" spans="2:11" x14ac:dyDescent="0.25">
      <c r="B343" s="263">
        <v>44904</v>
      </c>
      <c r="C343" s="162">
        <v>3934.38</v>
      </c>
      <c r="D343" s="94">
        <f t="shared" si="15"/>
        <v>-7.3495462355336327E-3</v>
      </c>
      <c r="F343" s="161">
        <v>1079.6199999999999</v>
      </c>
      <c r="G343" s="94">
        <f t="shared" si="16"/>
        <v>-5.1785780103941192E-3</v>
      </c>
      <c r="J343" s="264">
        <v>153.03</v>
      </c>
      <c r="K343" s="94">
        <f t="shared" si="17"/>
        <v>-1.1753309654504274E-2</v>
      </c>
    </row>
    <row r="344" spans="2:11" x14ac:dyDescent="0.25">
      <c r="B344" s="263">
        <v>44907</v>
      </c>
      <c r="C344" s="162">
        <v>3990.56</v>
      </c>
      <c r="D344" s="94">
        <f t="shared" si="15"/>
        <v>1.4279251114533986E-2</v>
      </c>
      <c r="F344" s="161">
        <v>1083.79</v>
      </c>
      <c r="G344" s="94">
        <f t="shared" si="16"/>
        <v>3.8624701283784812E-3</v>
      </c>
      <c r="J344" s="264">
        <v>159.19</v>
      </c>
      <c r="K344" s="94">
        <f t="shared" si="17"/>
        <v>4.0253545056524898E-2</v>
      </c>
    </row>
    <row r="345" spans="2:11" x14ac:dyDescent="0.25">
      <c r="B345" s="263">
        <v>44908</v>
      </c>
      <c r="C345" s="162">
        <v>4019.65</v>
      </c>
      <c r="D345" s="94">
        <f t="shared" si="15"/>
        <v>7.289703700733785E-3</v>
      </c>
      <c r="F345" s="161">
        <v>1085.93</v>
      </c>
      <c r="G345" s="94">
        <f t="shared" si="16"/>
        <v>1.9745522656604564E-3</v>
      </c>
      <c r="J345" s="264">
        <v>156.31</v>
      </c>
      <c r="K345" s="94">
        <f t="shared" si="17"/>
        <v>-1.8091588667629832E-2</v>
      </c>
    </row>
    <row r="346" spans="2:11" x14ac:dyDescent="0.25">
      <c r="B346" s="263">
        <v>44909</v>
      </c>
      <c r="C346" s="162">
        <v>3995.32</v>
      </c>
      <c r="D346" s="94">
        <f t="shared" si="15"/>
        <v>-6.0527657880661279E-3</v>
      </c>
      <c r="F346" s="161">
        <v>1078.04</v>
      </c>
      <c r="G346" s="94">
        <f t="shared" si="16"/>
        <v>-7.2656616909009264E-3</v>
      </c>
      <c r="J346" s="264">
        <v>160.47</v>
      </c>
      <c r="K346" s="94">
        <f t="shared" si="17"/>
        <v>2.6613780308361479E-2</v>
      </c>
    </row>
    <row r="347" spans="2:11" x14ac:dyDescent="0.25">
      <c r="B347" s="263">
        <v>44910</v>
      </c>
      <c r="C347" s="162">
        <v>3895.75</v>
      </c>
      <c r="D347" s="94">
        <f t="shared" si="15"/>
        <v>-2.4921658340258168E-2</v>
      </c>
      <c r="F347" s="161">
        <v>1058.81</v>
      </c>
      <c r="G347" s="94">
        <f t="shared" si="16"/>
        <v>-1.7837928091722022E-2</v>
      </c>
      <c r="J347" s="264">
        <v>155.61000000000001</v>
      </c>
      <c r="K347" s="94">
        <f t="shared" si="17"/>
        <v>-3.0286034772854631E-2</v>
      </c>
    </row>
    <row r="348" spans="2:11" x14ac:dyDescent="0.25">
      <c r="B348" s="263">
        <v>44911</v>
      </c>
      <c r="C348" s="162">
        <v>3852.36</v>
      </c>
      <c r="D348" s="94">
        <f t="shared" si="15"/>
        <v>-1.1137778348199956E-2</v>
      </c>
      <c r="F348" s="161">
        <v>1040.4000000000001</v>
      </c>
      <c r="G348" s="94">
        <f t="shared" si="16"/>
        <v>-1.7387444395122742E-2</v>
      </c>
      <c r="J348" s="264">
        <v>154.28</v>
      </c>
      <c r="K348" s="94">
        <f t="shared" si="17"/>
        <v>-8.5470085470086277E-3</v>
      </c>
    </row>
    <row r="349" spans="2:11" x14ac:dyDescent="0.25">
      <c r="B349" s="263">
        <v>44914</v>
      </c>
      <c r="C349" s="162">
        <v>3817.66</v>
      </c>
      <c r="D349" s="94">
        <f t="shared" si="15"/>
        <v>-9.007465553582783E-3</v>
      </c>
      <c r="F349" s="161">
        <v>1023.14</v>
      </c>
      <c r="G349" s="94">
        <f t="shared" si="16"/>
        <v>-1.6589773164167765E-2</v>
      </c>
      <c r="J349" s="264">
        <v>149.16999999999999</v>
      </c>
      <c r="K349" s="94">
        <f t="shared" si="17"/>
        <v>-3.3121597096188782E-2</v>
      </c>
    </row>
    <row r="350" spans="2:11" x14ac:dyDescent="0.25">
      <c r="B350" s="263">
        <v>44915</v>
      </c>
      <c r="C350" s="162">
        <v>3821.62</v>
      </c>
      <c r="D350" s="94">
        <f t="shared" si="15"/>
        <v>1.0372846193742458E-3</v>
      </c>
      <c r="F350" s="161">
        <v>1011.57</v>
      </c>
      <c r="G350" s="94">
        <f t="shared" si="16"/>
        <v>-1.1308325351369275E-2</v>
      </c>
      <c r="J350" s="264">
        <v>146.54</v>
      </c>
      <c r="K350" s="94">
        <f t="shared" si="17"/>
        <v>-1.7630890929811627E-2</v>
      </c>
    </row>
    <row r="351" spans="2:11" x14ac:dyDescent="0.25">
      <c r="B351" s="263">
        <v>44916</v>
      </c>
      <c r="C351" s="162">
        <v>3878.44</v>
      </c>
      <c r="D351" s="94">
        <f t="shared" si="15"/>
        <v>1.4868040255179737E-2</v>
      </c>
      <c r="F351" s="161">
        <v>1027.58</v>
      </c>
      <c r="G351" s="94">
        <f t="shared" si="16"/>
        <v>1.5826882964105282E-2</v>
      </c>
      <c r="J351" s="264">
        <v>151.11000000000001</v>
      </c>
      <c r="K351" s="94">
        <f t="shared" si="17"/>
        <v>3.1186024293708314E-2</v>
      </c>
    </row>
    <row r="352" spans="2:11" x14ac:dyDescent="0.25">
      <c r="B352" s="263">
        <v>44917</v>
      </c>
      <c r="C352" s="162">
        <v>3822.39</v>
      </c>
      <c r="D352" s="94">
        <f t="shared" si="15"/>
        <v>-1.4451686760656446E-2</v>
      </c>
      <c r="F352" s="161">
        <v>1000.97</v>
      </c>
      <c r="G352" s="94">
        <f t="shared" si="16"/>
        <v>-2.5895794001440153E-2</v>
      </c>
      <c r="J352" s="264">
        <v>145.35</v>
      </c>
      <c r="K352" s="94">
        <f t="shared" si="17"/>
        <v>-3.8117927337701141E-2</v>
      </c>
    </row>
    <row r="353" spans="2:11" x14ac:dyDescent="0.25">
      <c r="B353" s="263">
        <v>44918</v>
      </c>
      <c r="C353" s="162">
        <v>3844.82</v>
      </c>
      <c r="D353" s="94">
        <f t="shared" si="15"/>
        <v>5.8680563731070556E-3</v>
      </c>
      <c r="F353" s="161">
        <v>1008.1</v>
      </c>
      <c r="G353" s="94">
        <f t="shared" si="16"/>
        <v>7.1230906021160223E-3</v>
      </c>
      <c r="J353" s="264">
        <v>145.66999999999999</v>
      </c>
      <c r="K353" s="94">
        <f t="shared" si="17"/>
        <v>2.2015823873409168E-3</v>
      </c>
    </row>
    <row r="354" spans="2:11" x14ac:dyDescent="0.25">
      <c r="B354" s="263">
        <v>44922</v>
      </c>
      <c r="C354" s="162">
        <v>3829.25</v>
      </c>
      <c r="D354" s="94">
        <f t="shared" si="15"/>
        <v>-4.0496044028068834E-3</v>
      </c>
      <c r="F354" s="161">
        <v>991.55</v>
      </c>
      <c r="G354" s="94">
        <f t="shared" si="16"/>
        <v>-1.6417022120821412E-2</v>
      </c>
      <c r="J354" s="264">
        <v>143.62</v>
      </c>
      <c r="K354" s="94">
        <f t="shared" si="17"/>
        <v>-1.4072904510194162E-2</v>
      </c>
    </row>
    <row r="355" spans="2:11" x14ac:dyDescent="0.25">
      <c r="B355" s="263">
        <v>44923</v>
      </c>
      <c r="C355" s="162">
        <v>3783.22</v>
      </c>
      <c r="D355" s="94">
        <f t="shared" si="15"/>
        <v>-1.202063067180259E-2</v>
      </c>
      <c r="F355" s="161">
        <v>983.06</v>
      </c>
      <c r="G355" s="94">
        <f t="shared" si="16"/>
        <v>-8.5623518733296544E-3</v>
      </c>
      <c r="J355" s="264">
        <v>141.84</v>
      </c>
      <c r="K355" s="94">
        <f t="shared" si="17"/>
        <v>-1.2393817017128494E-2</v>
      </c>
    </row>
    <row r="356" spans="2:11" x14ac:dyDescent="0.25">
      <c r="B356" s="263">
        <v>44924</v>
      </c>
      <c r="C356" s="162">
        <v>3849.28</v>
      </c>
      <c r="D356" s="94">
        <f t="shared" si="15"/>
        <v>1.7461316021801565E-2</v>
      </c>
      <c r="F356" s="161">
        <v>1008.32</v>
      </c>
      <c r="G356" s="94">
        <f t="shared" si="16"/>
        <v>2.5695278009480793E-2</v>
      </c>
      <c r="J356" s="264">
        <v>143.44</v>
      </c>
      <c r="K356" s="94">
        <f t="shared" si="17"/>
        <v>1.1280315848843703E-2</v>
      </c>
    </row>
    <row r="357" spans="2:11" x14ac:dyDescent="0.25">
      <c r="B357" s="263">
        <v>44925</v>
      </c>
      <c r="C357" s="162">
        <v>3839.5</v>
      </c>
      <c r="D357" s="94">
        <f t="shared" si="15"/>
        <v>-2.5407348906808513E-3</v>
      </c>
      <c r="F357" s="161">
        <v>1005.48</v>
      </c>
      <c r="G357" s="94">
        <f t="shared" si="16"/>
        <v>-2.8165661694700139E-3</v>
      </c>
      <c r="J357" s="264">
        <v>137.62</v>
      </c>
      <c r="K357" s="94">
        <f t="shared" si="17"/>
        <v>-4.0574456218627986E-2</v>
      </c>
    </row>
    <row r="358" spans="2:11" x14ac:dyDescent="0.25">
      <c r="B358" s="263">
        <v>44929</v>
      </c>
      <c r="C358" s="162">
        <v>3824.14</v>
      </c>
      <c r="D358" s="94">
        <f t="shared" si="15"/>
        <v>-4.0005209011589882E-3</v>
      </c>
      <c r="F358" s="161">
        <v>999.54</v>
      </c>
      <c r="G358" s="94">
        <f t="shared" si="16"/>
        <v>-5.9076262083781472E-3</v>
      </c>
      <c r="J358" s="264">
        <v>133.44</v>
      </c>
      <c r="K358" s="94">
        <f t="shared" si="17"/>
        <v>-3.0373492224967324E-2</v>
      </c>
    </row>
    <row r="359" spans="2:11" x14ac:dyDescent="0.25">
      <c r="B359" s="263">
        <v>44930</v>
      </c>
      <c r="C359" s="162">
        <v>3852.97</v>
      </c>
      <c r="D359" s="94">
        <f t="shared" si="15"/>
        <v>7.5389499338414101E-3</v>
      </c>
      <c r="F359" s="161">
        <v>1013.67</v>
      </c>
      <c r="G359" s="94">
        <f t="shared" si="16"/>
        <v>1.4136502791284089E-2</v>
      </c>
      <c r="J359" s="264">
        <v>136.5</v>
      </c>
      <c r="K359" s="94">
        <f t="shared" si="17"/>
        <v>2.2931654676259017E-2</v>
      </c>
    </row>
    <row r="360" spans="2:11" x14ac:dyDescent="0.25">
      <c r="B360" s="263">
        <v>44931</v>
      </c>
      <c r="C360" s="162">
        <v>3808.1</v>
      </c>
      <c r="D360" s="94">
        <f t="shared" si="15"/>
        <v>-1.164556173549236E-2</v>
      </c>
      <c r="F360" s="161">
        <v>1004.03</v>
      </c>
      <c r="G360" s="94">
        <f t="shared" si="16"/>
        <v>-9.5099983229255391E-3</v>
      </c>
      <c r="J360" s="264">
        <v>132.31</v>
      </c>
      <c r="K360" s="94">
        <f t="shared" si="17"/>
        <v>-3.0695970695970631E-2</v>
      </c>
    </row>
    <row r="361" spans="2:11" x14ac:dyDescent="0.25">
      <c r="B361" s="263">
        <v>44932</v>
      </c>
      <c r="C361" s="162">
        <v>3895.08</v>
      </c>
      <c r="D361" s="94">
        <f t="shared" si="15"/>
        <v>2.284078674404566E-2</v>
      </c>
      <c r="F361" s="161">
        <v>1028.0999999999999</v>
      </c>
      <c r="G361" s="94">
        <f t="shared" si="16"/>
        <v>2.3973387249385025E-2</v>
      </c>
      <c r="J361" s="264">
        <v>137.22</v>
      </c>
      <c r="K361" s="94">
        <f t="shared" si="17"/>
        <v>3.7109817852014171E-2</v>
      </c>
    </row>
    <row r="362" spans="2:11" x14ac:dyDescent="0.25">
      <c r="B362" s="263">
        <v>44935</v>
      </c>
      <c r="C362" s="162">
        <v>3892.09</v>
      </c>
      <c r="D362" s="94">
        <f t="shared" si="15"/>
        <v>-7.6763506782906443E-4</v>
      </c>
      <c r="F362" s="161">
        <v>1033.93</v>
      </c>
      <c r="G362" s="94">
        <f t="shared" si="16"/>
        <v>5.6706546055833584E-3</v>
      </c>
      <c r="J362" s="264">
        <v>143.85</v>
      </c>
      <c r="K362" s="94">
        <f t="shared" si="17"/>
        <v>4.8316571928290308E-2</v>
      </c>
    </row>
    <row r="363" spans="2:11" x14ac:dyDescent="0.25">
      <c r="B363" s="263">
        <v>44936</v>
      </c>
      <c r="C363" s="162">
        <v>3919.25</v>
      </c>
      <c r="D363" s="94">
        <f t="shared" si="15"/>
        <v>6.9782558985018728E-3</v>
      </c>
      <c r="F363" s="161">
        <v>1046.97</v>
      </c>
      <c r="G363" s="94">
        <f t="shared" si="16"/>
        <v>1.2612072384010409E-2</v>
      </c>
      <c r="J363" s="264">
        <v>147.49</v>
      </c>
      <c r="K363" s="94">
        <f t="shared" si="17"/>
        <v>2.5304136253041509E-2</v>
      </c>
    </row>
    <row r="364" spans="2:11" x14ac:dyDescent="0.25">
      <c r="B364" s="263">
        <v>44937</v>
      </c>
      <c r="C364" s="162">
        <v>3969.61</v>
      </c>
      <c r="D364" s="94">
        <f t="shared" si="15"/>
        <v>1.2849397206098123E-2</v>
      </c>
      <c r="F364" s="161">
        <v>1075.02</v>
      </c>
      <c r="G364" s="94">
        <f t="shared" si="16"/>
        <v>2.6791598613140843E-2</v>
      </c>
      <c r="J364" s="264">
        <v>150.41999999999999</v>
      </c>
      <c r="K364" s="94">
        <f t="shared" si="17"/>
        <v>1.9865753610414094E-2</v>
      </c>
    </row>
    <row r="365" spans="2:11" x14ac:dyDescent="0.25">
      <c r="B365" s="263">
        <v>44938</v>
      </c>
      <c r="C365" s="162">
        <v>3983.17</v>
      </c>
      <c r="D365" s="94">
        <f t="shared" si="15"/>
        <v>3.41595270064321E-3</v>
      </c>
      <c r="F365" s="161">
        <v>1076.8599999999999</v>
      </c>
      <c r="G365" s="94">
        <f t="shared" si="16"/>
        <v>1.7115960633289351E-3</v>
      </c>
      <c r="J365" s="264">
        <v>151.30000000000001</v>
      </c>
      <c r="K365" s="94">
        <f t="shared" si="17"/>
        <v>5.850285866241256E-3</v>
      </c>
    </row>
    <row r="366" spans="2:11" x14ac:dyDescent="0.25">
      <c r="B366" s="263">
        <v>44939</v>
      </c>
      <c r="C366" s="162">
        <v>3999.09</v>
      </c>
      <c r="D366" s="94">
        <f t="shared" si="15"/>
        <v>3.9968166058692578E-3</v>
      </c>
      <c r="F366" s="161">
        <v>1087.3499999999999</v>
      </c>
      <c r="G366" s="94">
        <f t="shared" si="16"/>
        <v>9.7412848466837954E-3</v>
      </c>
      <c r="J366" s="264">
        <v>146</v>
      </c>
      <c r="K366" s="94">
        <f t="shared" si="17"/>
        <v>-3.5029742233972261E-2</v>
      </c>
    </row>
    <row r="367" spans="2:11" x14ac:dyDescent="0.25">
      <c r="B367" s="263">
        <v>44943</v>
      </c>
      <c r="C367" s="162">
        <v>3990.97</v>
      </c>
      <c r="D367" s="94">
        <f t="shared" si="15"/>
        <v>-2.0304619300891558E-3</v>
      </c>
      <c r="F367" s="161">
        <v>1088.1099999999999</v>
      </c>
      <c r="G367" s="94">
        <f t="shared" si="16"/>
        <v>6.9894698119288279E-4</v>
      </c>
      <c r="J367" s="264">
        <v>148.09</v>
      </c>
      <c r="K367" s="94">
        <f t="shared" si="17"/>
        <v>1.4315068493150784E-2</v>
      </c>
    </row>
    <row r="368" spans="2:11" x14ac:dyDescent="0.25">
      <c r="B368" s="263">
        <v>44944</v>
      </c>
      <c r="C368" s="162">
        <v>3928.86</v>
      </c>
      <c r="D368" s="94">
        <f t="shared" si="15"/>
        <v>-1.5562632643191909E-2</v>
      </c>
      <c r="F368" s="161">
        <v>1073.99</v>
      </c>
      <c r="G368" s="94">
        <f t="shared" si="16"/>
        <v>-1.2976629201091661E-2</v>
      </c>
      <c r="J368" s="264">
        <v>144.59</v>
      </c>
      <c r="K368" s="94">
        <f t="shared" si="17"/>
        <v>-2.3634276453508019E-2</v>
      </c>
    </row>
    <row r="369" spans="2:11" x14ac:dyDescent="0.25">
      <c r="B369" s="263">
        <v>44945</v>
      </c>
      <c r="C369" s="162">
        <v>3898.85</v>
      </c>
      <c r="D369" s="94">
        <f t="shared" si="15"/>
        <v>-7.6383480195273412E-3</v>
      </c>
      <c r="F369" s="161">
        <v>1055.81</v>
      </c>
      <c r="G369" s="94">
        <f t="shared" si="16"/>
        <v>-1.6927531913704996E-2</v>
      </c>
      <c r="J369" s="264">
        <v>136.63999999999999</v>
      </c>
      <c r="K369" s="94">
        <f t="shared" si="17"/>
        <v>-5.4983055536344305E-2</v>
      </c>
    </row>
    <row r="370" spans="2:11" x14ac:dyDescent="0.25">
      <c r="B370" s="263">
        <v>44946</v>
      </c>
      <c r="C370" s="162">
        <v>3972.61</v>
      </c>
      <c r="D370" s="94">
        <f t="shared" si="15"/>
        <v>1.8918399015094289E-2</v>
      </c>
      <c r="F370" s="161">
        <v>1081.81</v>
      </c>
      <c r="G370" s="94">
        <f t="shared" si="16"/>
        <v>2.4625642871350051E-2</v>
      </c>
      <c r="J370" s="264">
        <v>141.69</v>
      </c>
      <c r="K370" s="94">
        <f t="shared" si="17"/>
        <v>3.695843091334905E-2</v>
      </c>
    </row>
    <row r="371" spans="2:11" x14ac:dyDescent="0.25">
      <c r="B371" s="263">
        <v>44949</v>
      </c>
      <c r="C371" s="162">
        <v>4019.81</v>
      </c>
      <c r="D371" s="94">
        <f t="shared" si="15"/>
        <v>1.1881357596139619E-2</v>
      </c>
      <c r="F371" s="161">
        <v>1098.79</v>
      </c>
      <c r="G371" s="94">
        <f t="shared" si="16"/>
        <v>1.5695917027943818E-2</v>
      </c>
      <c r="J371" s="264">
        <v>149.76</v>
      </c>
      <c r="K371" s="94">
        <f t="shared" si="17"/>
        <v>5.6955325005293211E-2</v>
      </c>
    </row>
    <row r="372" spans="2:11" x14ac:dyDescent="0.25">
      <c r="B372" s="263">
        <v>44950</v>
      </c>
      <c r="C372" s="162">
        <v>4016.95</v>
      </c>
      <c r="D372" s="94">
        <f t="shared" si="15"/>
        <v>-7.1147641306434917E-4</v>
      </c>
      <c r="F372" s="161">
        <v>1096.9000000000001</v>
      </c>
      <c r="G372" s="94">
        <f t="shared" si="16"/>
        <v>-1.7200738994711529E-3</v>
      </c>
      <c r="J372" s="264">
        <v>148.16</v>
      </c>
      <c r="K372" s="94">
        <f t="shared" si="17"/>
        <v>-1.0683760683760646E-2</v>
      </c>
    </row>
    <row r="373" spans="2:11" x14ac:dyDescent="0.25">
      <c r="B373" s="263">
        <v>44951</v>
      </c>
      <c r="C373" s="162">
        <v>4016.22</v>
      </c>
      <c r="D373" s="94">
        <f t="shared" si="15"/>
        <v>-1.8172991946630024E-4</v>
      </c>
      <c r="F373" s="161">
        <v>1102.83</v>
      </c>
      <c r="G373" s="94">
        <f t="shared" si="16"/>
        <v>5.4061445892970017E-3</v>
      </c>
      <c r="J373" s="264">
        <v>150.22999999999999</v>
      </c>
      <c r="K373" s="94">
        <f t="shared" si="17"/>
        <v>1.3971382289416745E-2</v>
      </c>
    </row>
    <row r="374" spans="2:11" x14ac:dyDescent="0.25">
      <c r="B374" s="263">
        <v>44952</v>
      </c>
      <c r="C374" s="162">
        <v>4060.43</v>
      </c>
      <c r="D374" s="94">
        <f t="shared" si="15"/>
        <v>1.1007863115068517E-2</v>
      </c>
      <c r="F374" s="161">
        <v>1125.24</v>
      </c>
      <c r="G374" s="94">
        <f t="shared" si="16"/>
        <v>2.0320448301188732E-2</v>
      </c>
      <c r="J374" s="264">
        <v>155.46</v>
      </c>
      <c r="K374" s="94">
        <f t="shared" si="17"/>
        <v>3.4813286294348877E-2</v>
      </c>
    </row>
    <row r="375" spans="2:11" x14ac:dyDescent="0.25">
      <c r="B375" s="263">
        <v>44953</v>
      </c>
      <c r="C375" s="162">
        <v>4070.56</v>
      </c>
      <c r="D375" s="94">
        <f t="shared" si="15"/>
        <v>2.4948096630159622E-3</v>
      </c>
      <c r="F375" s="161">
        <v>1150.81</v>
      </c>
      <c r="G375" s="94">
        <f t="shared" si="16"/>
        <v>2.2724041093455494E-2</v>
      </c>
      <c r="J375" s="264">
        <v>157.83000000000001</v>
      </c>
      <c r="K375" s="94">
        <f t="shared" si="17"/>
        <v>1.5245079120030924E-2</v>
      </c>
    </row>
    <row r="376" spans="2:11" x14ac:dyDescent="0.25">
      <c r="B376" s="263">
        <v>44956</v>
      </c>
      <c r="C376" s="162">
        <v>4017.77</v>
      </c>
      <c r="D376" s="94">
        <f t="shared" si="15"/>
        <v>-1.2968731575016657E-2</v>
      </c>
      <c r="F376" s="161">
        <v>1131.0899999999999</v>
      </c>
      <c r="G376" s="94">
        <f t="shared" si="16"/>
        <v>-1.7135756554079284E-2</v>
      </c>
      <c r="J376" s="264">
        <v>156.62</v>
      </c>
      <c r="K376" s="94">
        <f t="shared" si="17"/>
        <v>-7.6664765887347608E-3</v>
      </c>
    </row>
    <row r="377" spans="2:11" x14ac:dyDescent="0.25">
      <c r="B377" s="263">
        <v>44957</v>
      </c>
      <c r="C377" s="162">
        <v>4076.6</v>
      </c>
      <c r="D377" s="94">
        <f t="shared" si="15"/>
        <v>1.4642450911824145E-2</v>
      </c>
      <c r="F377" s="161">
        <v>1156.22</v>
      </c>
      <c r="G377" s="94">
        <f t="shared" si="16"/>
        <v>2.2217507006516035E-2</v>
      </c>
      <c r="J377" s="264">
        <v>158.47</v>
      </c>
      <c r="K377" s="94">
        <f t="shared" si="17"/>
        <v>1.1812029115055411E-2</v>
      </c>
    </row>
    <row r="378" spans="2:11" x14ac:dyDescent="0.25">
      <c r="B378" s="263">
        <v>44958</v>
      </c>
      <c r="C378" s="162">
        <v>4119.21</v>
      </c>
      <c r="D378" s="94">
        <f t="shared" si="15"/>
        <v>1.0452337732424155E-2</v>
      </c>
      <c r="F378" s="161">
        <v>1178.0999999999999</v>
      </c>
      <c r="G378" s="94">
        <f t="shared" si="16"/>
        <v>1.8923734237428658E-2</v>
      </c>
      <c r="J378" s="264">
        <v>163.01</v>
      </c>
      <c r="K378" s="94">
        <f t="shared" si="17"/>
        <v>2.8648955638291174E-2</v>
      </c>
    </row>
    <row r="379" spans="2:11" x14ac:dyDescent="0.25">
      <c r="B379" s="263">
        <v>44959</v>
      </c>
      <c r="C379" s="162">
        <v>4179.76</v>
      </c>
      <c r="D379" s="94">
        <f t="shared" si="15"/>
        <v>1.4699420519954209E-2</v>
      </c>
      <c r="F379" s="161">
        <v>1214.42</v>
      </c>
      <c r="G379" s="94">
        <f t="shared" si="16"/>
        <v>3.0829301417536925E-2</v>
      </c>
      <c r="J379" s="264">
        <v>165.59</v>
      </c>
      <c r="K379" s="94">
        <f t="shared" si="17"/>
        <v>1.5827249861971815E-2</v>
      </c>
    </row>
    <row r="380" spans="2:11" x14ac:dyDescent="0.25">
      <c r="B380" s="263">
        <v>44960</v>
      </c>
      <c r="C380" s="162">
        <v>4136.4799999999996</v>
      </c>
      <c r="D380" s="94">
        <f t="shared" si="15"/>
        <v>-1.0354661511665864E-2</v>
      </c>
      <c r="F380" s="161">
        <v>1176.67</v>
      </c>
      <c r="G380" s="94">
        <f t="shared" si="16"/>
        <v>-3.1084797681197651E-2</v>
      </c>
      <c r="J380" s="264">
        <v>165.96</v>
      </c>
      <c r="K380" s="94">
        <f t="shared" si="17"/>
        <v>2.2344344465246024E-3</v>
      </c>
    </row>
    <row r="381" spans="2:11" x14ac:dyDescent="0.25">
      <c r="B381" s="263">
        <v>44963</v>
      </c>
      <c r="C381" s="162">
        <v>4111.08</v>
      </c>
      <c r="D381" s="94">
        <f t="shared" si="15"/>
        <v>-6.1404865973000433E-3</v>
      </c>
      <c r="F381" s="161">
        <v>1175.1199999999999</v>
      </c>
      <c r="G381" s="94">
        <f t="shared" si="16"/>
        <v>-1.3172767215958725E-3</v>
      </c>
      <c r="J381" s="264">
        <v>164.06</v>
      </c>
      <c r="K381" s="94">
        <f t="shared" si="17"/>
        <v>-1.1448541817305369E-2</v>
      </c>
    </row>
    <row r="382" spans="2:11" x14ac:dyDescent="0.25">
      <c r="B382" s="263">
        <v>44964</v>
      </c>
      <c r="C382" s="162">
        <v>4164</v>
      </c>
      <c r="D382" s="94">
        <f t="shared" si="15"/>
        <v>1.2872529846171821E-2</v>
      </c>
      <c r="F382" s="161">
        <v>1177.7</v>
      </c>
      <c r="G382" s="94">
        <f t="shared" si="16"/>
        <v>2.1955204574852782E-3</v>
      </c>
      <c r="J382" s="264">
        <v>165.51</v>
      </c>
      <c r="K382" s="94">
        <f t="shared" si="17"/>
        <v>8.8382299158844546E-3</v>
      </c>
    </row>
    <row r="383" spans="2:11" x14ac:dyDescent="0.25">
      <c r="B383" s="263">
        <v>44965</v>
      </c>
      <c r="C383" s="162">
        <v>4117.8599999999997</v>
      </c>
      <c r="D383" s="94">
        <f t="shared" si="15"/>
        <v>-1.1080691642651352E-2</v>
      </c>
      <c r="F383" s="161">
        <v>1167.17</v>
      </c>
      <c r="G383" s="94">
        <f t="shared" si="16"/>
        <v>-8.9411564914664288E-3</v>
      </c>
      <c r="J383" s="264">
        <v>158.94999999999999</v>
      </c>
      <c r="K383" s="94">
        <f t="shared" si="17"/>
        <v>-3.9635067367530641E-2</v>
      </c>
    </row>
    <row r="384" spans="2:11" x14ac:dyDescent="0.25">
      <c r="B384" s="263">
        <v>44966</v>
      </c>
      <c r="C384" s="162">
        <v>4081.5</v>
      </c>
      <c r="D384" s="94">
        <f t="shared" si="15"/>
        <v>-8.8298290859815109E-3</v>
      </c>
      <c r="F384" s="161">
        <v>1164.75</v>
      </c>
      <c r="G384" s="94">
        <f t="shared" si="16"/>
        <v>-2.0733911940848948E-3</v>
      </c>
      <c r="J384" s="264">
        <v>158.97</v>
      </c>
      <c r="K384" s="94">
        <f t="shared" si="17"/>
        <v>1.2582573136210584E-4</v>
      </c>
    </row>
    <row r="385" spans="2:11" x14ac:dyDescent="0.25">
      <c r="B385" s="263">
        <v>44967</v>
      </c>
      <c r="C385" s="162">
        <v>4090.46</v>
      </c>
      <c r="D385" s="94">
        <f t="shared" si="15"/>
        <v>2.1952713463186946E-3</v>
      </c>
      <c r="F385" s="161">
        <v>1150.55</v>
      </c>
      <c r="G385" s="94">
        <f t="shared" si="16"/>
        <v>-1.2191457394290617E-2</v>
      </c>
      <c r="J385" s="264">
        <v>155.6</v>
      </c>
      <c r="K385" s="94">
        <f t="shared" si="17"/>
        <v>-2.1198968358809855E-2</v>
      </c>
    </row>
    <row r="386" spans="2:11" x14ac:dyDescent="0.25">
      <c r="B386" s="263">
        <v>44970</v>
      </c>
      <c r="C386" s="162">
        <v>4137.29</v>
      </c>
      <c r="D386" s="94">
        <f t="shared" si="15"/>
        <v>1.1448590134117032E-2</v>
      </c>
      <c r="F386" s="161">
        <v>1167.3699999999999</v>
      </c>
      <c r="G386" s="94">
        <f t="shared" si="16"/>
        <v>1.4619095215331779E-2</v>
      </c>
      <c r="J386" s="264">
        <v>163.16</v>
      </c>
      <c r="K386" s="94">
        <f t="shared" si="17"/>
        <v>4.8586118251928045E-2</v>
      </c>
    </row>
    <row r="387" spans="2:11" x14ac:dyDescent="0.25">
      <c r="B387" s="263">
        <v>44971</v>
      </c>
      <c r="C387" s="162">
        <v>4136.13</v>
      </c>
      <c r="D387" s="94">
        <f t="shared" si="15"/>
        <v>-2.8037676836767389E-4</v>
      </c>
      <c r="F387" s="161">
        <v>1181.1099999999999</v>
      </c>
      <c r="G387" s="94">
        <f t="shared" si="16"/>
        <v>1.177004720011654E-2</v>
      </c>
      <c r="J387" s="264">
        <v>170.66</v>
      </c>
      <c r="K387" s="94">
        <f t="shared" si="17"/>
        <v>4.5967148810983183E-2</v>
      </c>
    </row>
    <row r="388" spans="2:11" x14ac:dyDescent="0.25">
      <c r="B388" s="263">
        <v>44972</v>
      </c>
      <c r="C388" s="162">
        <v>4147.6000000000004</v>
      </c>
      <c r="D388" s="94">
        <f t="shared" si="15"/>
        <v>2.7731236687436045E-3</v>
      </c>
      <c r="F388" s="161">
        <v>1194.8499999999999</v>
      </c>
      <c r="G388" s="94">
        <f t="shared" si="16"/>
        <v>1.1633124772459924E-2</v>
      </c>
      <c r="J388" s="264">
        <v>174.42</v>
      </c>
      <c r="K388" s="94">
        <f t="shared" si="17"/>
        <v>2.2032110629321311E-2</v>
      </c>
    </row>
    <row r="389" spans="2:11" x14ac:dyDescent="0.25">
      <c r="B389" s="263">
        <v>44973</v>
      </c>
      <c r="C389" s="162">
        <v>4090.41</v>
      </c>
      <c r="D389" s="94">
        <f t="shared" si="15"/>
        <v>-1.378869707782826E-2</v>
      </c>
      <c r="F389" s="161">
        <v>1168.99</v>
      </c>
      <c r="G389" s="94">
        <f t="shared" si="16"/>
        <v>-2.1642884044022148E-2</v>
      </c>
      <c r="J389" s="264">
        <v>172.79</v>
      </c>
      <c r="K389" s="94">
        <f t="shared" si="17"/>
        <v>-9.3452585712647807E-3</v>
      </c>
    </row>
    <row r="390" spans="2:11" x14ac:dyDescent="0.25">
      <c r="B390" s="263">
        <v>44974</v>
      </c>
      <c r="C390" s="162">
        <v>4079.09</v>
      </c>
      <c r="D390" s="94">
        <f t="shared" si="15"/>
        <v>-2.7674487398573477E-3</v>
      </c>
      <c r="F390" s="161">
        <v>1169.45</v>
      </c>
      <c r="G390" s="94">
        <f t="shared" si="16"/>
        <v>3.9350208299482325E-4</v>
      </c>
      <c r="J390" s="264">
        <v>173.49</v>
      </c>
      <c r="K390" s="94">
        <f t="shared" si="17"/>
        <v>4.0511603680768449E-3</v>
      </c>
    </row>
    <row r="391" spans="2:11" x14ac:dyDescent="0.25">
      <c r="B391" s="263">
        <v>44978</v>
      </c>
      <c r="C391" s="162">
        <v>3997.34</v>
      </c>
      <c r="D391" s="94">
        <f t="shared" si="15"/>
        <v>-2.0041234687148357E-2</v>
      </c>
      <c r="F391" s="161">
        <v>1130.3800000000001</v>
      </c>
      <c r="G391" s="94">
        <f t="shared" si="16"/>
        <v>-3.3408867416306776E-2</v>
      </c>
      <c r="J391" s="264">
        <v>166.21</v>
      </c>
      <c r="K391" s="94">
        <f t="shared" si="17"/>
        <v>-4.1962072741944745E-2</v>
      </c>
    </row>
    <row r="392" spans="2:11" x14ac:dyDescent="0.25">
      <c r="B392" s="263">
        <v>44979</v>
      </c>
      <c r="C392" s="162">
        <v>3991.05</v>
      </c>
      <c r="D392" s="94">
        <f t="shared" si="15"/>
        <v>-1.5735464083616035E-3</v>
      </c>
      <c r="F392" s="161">
        <v>1136.21</v>
      </c>
      <c r="G392" s="94">
        <f t="shared" si="16"/>
        <v>5.1575576354854213E-3</v>
      </c>
      <c r="J392" s="264">
        <v>179</v>
      </c>
      <c r="K392" s="94">
        <f t="shared" si="17"/>
        <v>7.695084531616625E-2</v>
      </c>
    </row>
    <row r="393" spans="2:11" x14ac:dyDescent="0.25">
      <c r="B393" s="263">
        <v>44980</v>
      </c>
      <c r="C393" s="162">
        <v>4012.32</v>
      </c>
      <c r="D393" s="94">
        <f t="shared" ref="D393:D456" si="18">C393/C392-1</f>
        <v>5.3294245875146196E-3</v>
      </c>
      <c r="F393" s="161">
        <v>1135.21</v>
      </c>
      <c r="G393" s="94">
        <f t="shared" ref="G393:G456" si="19">F393/F392-1</f>
        <v>-8.8011899208773059E-4</v>
      </c>
      <c r="J393" s="264">
        <v>174.23</v>
      </c>
      <c r="K393" s="94">
        <f t="shared" si="17"/>
        <v>-2.6648044692737516E-2</v>
      </c>
    </row>
    <row r="394" spans="2:11" x14ac:dyDescent="0.25">
      <c r="B394" s="263">
        <v>44981</v>
      </c>
      <c r="C394" s="162">
        <v>3970.04</v>
      </c>
      <c r="D394" s="94">
        <f t="shared" si="18"/>
        <v>-1.0537544363360851E-2</v>
      </c>
      <c r="F394" s="161">
        <v>1117.47</v>
      </c>
      <c r="G394" s="94">
        <f t="shared" si="19"/>
        <v>-1.5627064595977846E-2</v>
      </c>
      <c r="J394" s="264">
        <v>171.06</v>
      </c>
      <c r="K394" s="94">
        <f t="shared" ref="K394:K457" si="20">J394/J393-1</f>
        <v>-1.8194340813866616E-2</v>
      </c>
    </row>
    <row r="395" spans="2:11" x14ac:dyDescent="0.25">
      <c r="B395" s="263">
        <v>44984</v>
      </c>
      <c r="C395" s="162">
        <v>3982.24</v>
      </c>
      <c r="D395" s="94">
        <f t="shared" si="18"/>
        <v>3.0730168965551474E-3</v>
      </c>
      <c r="F395" s="161">
        <v>1130.6300000000001</v>
      </c>
      <c r="G395" s="94">
        <f t="shared" si="19"/>
        <v>1.1776602503870359E-2</v>
      </c>
      <c r="J395" s="264">
        <v>173.18</v>
      </c>
      <c r="K395" s="94">
        <f t="shared" si="20"/>
        <v>1.2393312288086156E-2</v>
      </c>
    </row>
    <row r="396" spans="2:11" x14ac:dyDescent="0.25">
      <c r="B396" s="263">
        <v>44985</v>
      </c>
      <c r="C396" s="162">
        <v>3970.15</v>
      </c>
      <c r="D396" s="94">
        <f t="shared" si="18"/>
        <v>-3.0359797500902896E-3</v>
      </c>
      <c r="F396" s="161">
        <v>1130.01</v>
      </c>
      <c r="G396" s="94">
        <f t="shared" si="19"/>
        <v>-5.483668397265884E-4</v>
      </c>
      <c r="J396" s="264">
        <v>170.35</v>
      </c>
      <c r="K396" s="94">
        <f t="shared" si="20"/>
        <v>-1.6341378912114624E-2</v>
      </c>
    </row>
    <row r="397" spans="2:11" x14ac:dyDescent="0.25">
      <c r="B397" s="263">
        <v>44986</v>
      </c>
      <c r="C397" s="162">
        <v>3951.39</v>
      </c>
      <c r="D397" s="94">
        <f t="shared" si="18"/>
        <v>-4.7252622696876134E-3</v>
      </c>
      <c r="F397" s="161">
        <v>1115.49</v>
      </c>
      <c r="G397" s="94">
        <f t="shared" si="19"/>
        <v>-1.2849443810231787E-2</v>
      </c>
      <c r="J397" s="264">
        <v>170.89</v>
      </c>
      <c r="K397" s="94">
        <f t="shared" si="20"/>
        <v>3.1699442324626403E-3</v>
      </c>
    </row>
    <row r="398" spans="2:11" x14ac:dyDescent="0.25">
      <c r="B398" s="263">
        <v>44987</v>
      </c>
      <c r="C398" s="162">
        <v>3981.35</v>
      </c>
      <c r="D398" s="94">
        <f t="shared" si="18"/>
        <v>7.5821419804169565E-3</v>
      </c>
      <c r="F398" s="161">
        <v>1111.95</v>
      </c>
      <c r="G398" s="94">
        <f t="shared" si="19"/>
        <v>-3.1734932630502755E-3</v>
      </c>
      <c r="J398" s="264">
        <v>172.16</v>
      </c>
      <c r="K398" s="94">
        <f t="shared" si="20"/>
        <v>7.4316811984318498E-3</v>
      </c>
    </row>
    <row r="399" spans="2:11" x14ac:dyDescent="0.25">
      <c r="B399" s="263">
        <v>44988</v>
      </c>
      <c r="C399" s="162">
        <v>4045.64</v>
      </c>
      <c r="D399" s="94">
        <f t="shared" si="18"/>
        <v>1.61477890665227E-2</v>
      </c>
      <c r="F399" s="161">
        <v>1135.5</v>
      </c>
      <c r="G399" s="94">
        <f t="shared" si="19"/>
        <v>2.1179009847565045E-2</v>
      </c>
      <c r="J399" s="264">
        <v>173.55</v>
      </c>
      <c r="K399" s="94">
        <f t="shared" si="20"/>
        <v>8.0738847583643469E-3</v>
      </c>
    </row>
    <row r="400" spans="2:11" x14ac:dyDescent="0.25">
      <c r="B400" s="263">
        <v>44991</v>
      </c>
      <c r="C400" s="162">
        <v>4048.42</v>
      </c>
      <c r="D400" s="94">
        <f t="shared" si="18"/>
        <v>6.8715950999109765E-4</v>
      </c>
      <c r="F400" s="161">
        <v>1127.45</v>
      </c>
      <c r="G400" s="94">
        <f t="shared" si="19"/>
        <v>-7.0893879348303823E-3</v>
      </c>
      <c r="J400" s="264">
        <v>172.9</v>
      </c>
      <c r="K400" s="94">
        <f t="shared" si="20"/>
        <v>-3.7453183520599342E-3</v>
      </c>
    </row>
    <row r="401" spans="2:11" x14ac:dyDescent="0.25">
      <c r="B401" s="263">
        <v>44992</v>
      </c>
      <c r="C401" s="162">
        <v>3986.37</v>
      </c>
      <c r="D401" s="94">
        <f t="shared" si="18"/>
        <v>-1.5326967063694075E-2</v>
      </c>
      <c r="F401" s="161">
        <v>1112.05</v>
      </c>
      <c r="G401" s="94">
        <f t="shared" si="19"/>
        <v>-1.3659142312297701E-2</v>
      </c>
      <c r="J401" s="264">
        <v>169.68</v>
      </c>
      <c r="K401" s="94">
        <f t="shared" si="20"/>
        <v>-1.8623481781376516E-2</v>
      </c>
    </row>
    <row r="402" spans="2:11" x14ac:dyDescent="0.25">
      <c r="B402" s="263">
        <v>44993</v>
      </c>
      <c r="C402" s="162">
        <v>3992.01</v>
      </c>
      <c r="D402" s="94">
        <f t="shared" si="18"/>
        <v>1.4148210025664021E-3</v>
      </c>
      <c r="F402" s="161">
        <v>1109.19</v>
      </c>
      <c r="G402" s="94">
        <f t="shared" si="19"/>
        <v>-2.5718268063485983E-3</v>
      </c>
      <c r="J402" s="264">
        <v>170.75</v>
      </c>
      <c r="K402" s="94">
        <f t="shared" si="20"/>
        <v>6.3059877416311583E-3</v>
      </c>
    </row>
    <row r="403" spans="2:11" x14ac:dyDescent="0.25">
      <c r="B403" s="263">
        <v>44994</v>
      </c>
      <c r="C403" s="162">
        <v>3918.32</v>
      </c>
      <c r="D403" s="94">
        <f t="shared" si="18"/>
        <v>-1.8459372596762003E-2</v>
      </c>
      <c r="F403" s="161">
        <v>1083.03</v>
      </c>
      <c r="G403" s="94">
        <f t="shared" si="19"/>
        <v>-2.358477808130266E-2</v>
      </c>
      <c r="J403" s="264">
        <v>169.52</v>
      </c>
      <c r="K403" s="94">
        <f t="shared" si="20"/>
        <v>-7.2035139092239131E-3</v>
      </c>
    </row>
    <row r="404" spans="2:11" x14ac:dyDescent="0.25">
      <c r="B404" s="263">
        <v>44995</v>
      </c>
      <c r="C404" s="162">
        <v>3861.59</v>
      </c>
      <c r="D404" s="94">
        <f t="shared" si="18"/>
        <v>-1.4478143694236278E-2</v>
      </c>
      <c r="F404" s="161">
        <v>1072.43</v>
      </c>
      <c r="G404" s="94">
        <f t="shared" si="19"/>
        <v>-9.7873558442517217E-3</v>
      </c>
      <c r="J404" s="264">
        <v>165.05</v>
      </c>
      <c r="K404" s="94">
        <f t="shared" si="20"/>
        <v>-2.6368570080226528E-2</v>
      </c>
    </row>
    <row r="405" spans="2:11" x14ac:dyDescent="0.25">
      <c r="B405" s="263">
        <v>44998</v>
      </c>
      <c r="C405" s="162">
        <v>3855.76</v>
      </c>
      <c r="D405" s="94">
        <f t="shared" si="18"/>
        <v>-1.5097408062482165E-3</v>
      </c>
      <c r="F405" s="161">
        <v>1074.9000000000001</v>
      </c>
      <c r="G405" s="94">
        <f t="shared" si="19"/>
        <v>2.3031806271738287E-3</v>
      </c>
      <c r="J405" s="264">
        <v>165.62</v>
      </c>
      <c r="K405" s="94">
        <f t="shared" si="20"/>
        <v>3.4534989397152493E-3</v>
      </c>
    </row>
    <row r="406" spans="2:11" x14ac:dyDescent="0.25">
      <c r="B406" s="263">
        <v>44999</v>
      </c>
      <c r="C406" s="162">
        <v>3919.29</v>
      </c>
      <c r="D406" s="94">
        <f t="shared" si="18"/>
        <v>1.6476647924144494E-2</v>
      </c>
      <c r="F406" s="161">
        <v>1093.24</v>
      </c>
      <c r="G406" s="94">
        <f t="shared" si="19"/>
        <v>1.7062052283933316E-2</v>
      </c>
      <c r="J406" s="264">
        <v>170.23</v>
      </c>
      <c r="K406" s="94">
        <f t="shared" si="20"/>
        <v>2.7834802560077199E-2</v>
      </c>
    </row>
    <row r="407" spans="2:11" x14ac:dyDescent="0.25">
      <c r="B407" s="263">
        <v>45000</v>
      </c>
      <c r="C407" s="162">
        <v>3891.93</v>
      </c>
      <c r="D407" s="94">
        <f t="shared" si="18"/>
        <v>-6.9808562265104568E-3</v>
      </c>
      <c r="F407" s="161">
        <v>1090.94</v>
      </c>
      <c r="G407" s="94">
        <f t="shared" si="19"/>
        <v>-2.1038381325234612E-3</v>
      </c>
      <c r="J407" s="264">
        <v>174.76</v>
      </c>
      <c r="K407" s="94">
        <f t="shared" si="20"/>
        <v>2.6611055630617386E-2</v>
      </c>
    </row>
    <row r="408" spans="2:11" x14ac:dyDescent="0.25">
      <c r="B408" s="263">
        <v>45001</v>
      </c>
      <c r="C408" s="162">
        <v>3960.28</v>
      </c>
      <c r="D408" s="94">
        <f t="shared" si="18"/>
        <v>1.7561980816715783E-2</v>
      </c>
      <c r="F408" s="161">
        <v>1111.48</v>
      </c>
      <c r="G408" s="94">
        <f t="shared" si="19"/>
        <v>1.8827799879003404E-2</v>
      </c>
      <c r="J408" s="264">
        <v>181.4</v>
      </c>
      <c r="K408" s="94">
        <f t="shared" si="20"/>
        <v>3.7994964522774177E-2</v>
      </c>
    </row>
    <row r="409" spans="2:11" x14ac:dyDescent="0.25">
      <c r="B409" s="263">
        <v>45002</v>
      </c>
      <c r="C409" s="162">
        <v>3916.64</v>
      </c>
      <c r="D409" s="94">
        <f t="shared" si="18"/>
        <v>-1.101942286909019E-2</v>
      </c>
      <c r="F409" s="161">
        <v>1097.6600000000001</v>
      </c>
      <c r="G409" s="94">
        <f t="shared" si="19"/>
        <v>-1.2433871954511067E-2</v>
      </c>
      <c r="J409" s="264">
        <v>182.2</v>
      </c>
      <c r="K409" s="94">
        <f t="shared" si="20"/>
        <v>4.4101433296581671E-3</v>
      </c>
    </row>
    <row r="410" spans="2:11" x14ac:dyDescent="0.25">
      <c r="B410" s="263">
        <v>45005</v>
      </c>
      <c r="C410" s="162">
        <v>3951.57</v>
      </c>
      <c r="D410" s="94">
        <f t="shared" si="18"/>
        <v>8.9183585930798781E-3</v>
      </c>
      <c r="F410" s="161">
        <v>1101.95</v>
      </c>
      <c r="G410" s="94">
        <f t="shared" si="19"/>
        <v>3.9083140498878954E-3</v>
      </c>
      <c r="J410" s="264">
        <v>184.28</v>
      </c>
      <c r="K410" s="94">
        <f t="shared" si="20"/>
        <v>1.1416026344676311E-2</v>
      </c>
    </row>
    <row r="411" spans="2:11" x14ac:dyDescent="0.25">
      <c r="B411" s="263">
        <v>45006</v>
      </c>
      <c r="C411" s="162">
        <v>4002.87</v>
      </c>
      <c r="D411" s="94">
        <f t="shared" si="18"/>
        <v>1.2982181765728518E-2</v>
      </c>
      <c r="F411" s="161">
        <v>1131.8399999999999</v>
      </c>
      <c r="G411" s="94">
        <f t="shared" si="19"/>
        <v>2.7124642678887367E-2</v>
      </c>
      <c r="J411" s="264">
        <v>184.55</v>
      </c>
      <c r="K411" s="94">
        <f t="shared" si="20"/>
        <v>1.4651617104406434E-3</v>
      </c>
    </row>
    <row r="412" spans="2:11" x14ac:dyDescent="0.25">
      <c r="B412" s="263">
        <v>45007</v>
      </c>
      <c r="C412" s="162">
        <v>3936.97</v>
      </c>
      <c r="D412" s="94">
        <f t="shared" si="18"/>
        <v>-1.646318766285193E-2</v>
      </c>
      <c r="F412" s="161">
        <v>1106.94</v>
      </c>
      <c r="G412" s="94">
        <f t="shared" si="19"/>
        <v>-2.1999575911789582E-2</v>
      </c>
      <c r="J412" s="264">
        <v>183</v>
      </c>
      <c r="K412" s="94">
        <f t="shared" si="20"/>
        <v>-8.398807911135231E-3</v>
      </c>
    </row>
    <row r="413" spans="2:11" x14ac:dyDescent="0.25">
      <c r="B413" s="263">
        <v>45008</v>
      </c>
      <c r="C413" s="162">
        <v>3948.72</v>
      </c>
      <c r="D413" s="94">
        <f t="shared" si="18"/>
        <v>2.9845287111662788E-3</v>
      </c>
      <c r="F413" s="161">
        <v>1106.3900000000001</v>
      </c>
      <c r="G413" s="94">
        <f t="shared" si="19"/>
        <v>-4.9686523208114508E-4</v>
      </c>
      <c r="J413" s="264">
        <v>184.26</v>
      </c>
      <c r="K413" s="94">
        <f t="shared" si="20"/>
        <v>6.8852459016393031E-3</v>
      </c>
    </row>
    <row r="414" spans="2:11" x14ac:dyDescent="0.25">
      <c r="B414" s="263">
        <v>45009</v>
      </c>
      <c r="C414" s="162">
        <v>3970.99</v>
      </c>
      <c r="D414" s="94">
        <f t="shared" si="18"/>
        <v>5.6398022650376856E-3</v>
      </c>
      <c r="F414" s="161">
        <v>1102.47</v>
      </c>
      <c r="G414" s="94">
        <f t="shared" si="19"/>
        <v>-3.5430544383084905E-3</v>
      </c>
      <c r="J414" s="264">
        <v>184.29</v>
      </c>
      <c r="K414" s="94">
        <f t="shared" si="20"/>
        <v>1.6281341582558007E-4</v>
      </c>
    </row>
    <row r="415" spans="2:11" x14ac:dyDescent="0.25">
      <c r="B415" s="263">
        <v>45012</v>
      </c>
      <c r="C415" s="162">
        <v>3977.53</v>
      </c>
      <c r="D415" s="94">
        <f t="shared" si="18"/>
        <v>1.6469444647304599E-3</v>
      </c>
      <c r="F415" s="161">
        <v>1104.44</v>
      </c>
      <c r="G415" s="94">
        <f t="shared" si="19"/>
        <v>1.7868966956016141E-3</v>
      </c>
      <c r="J415" s="264">
        <v>182.11</v>
      </c>
      <c r="K415" s="94">
        <f t="shared" si="20"/>
        <v>-1.1829182267078964E-2</v>
      </c>
    </row>
    <row r="416" spans="2:11" x14ac:dyDescent="0.25">
      <c r="B416" s="263">
        <v>45013</v>
      </c>
      <c r="C416" s="162">
        <v>3971.27</v>
      </c>
      <c r="D416" s="94">
        <f t="shared" si="18"/>
        <v>-1.5738410521103363E-3</v>
      </c>
      <c r="F416" s="161">
        <v>1103.2</v>
      </c>
      <c r="G416" s="94">
        <f t="shared" si="19"/>
        <v>-1.1227409365832663E-3</v>
      </c>
      <c r="J416" s="264">
        <v>183.82</v>
      </c>
      <c r="K416" s="94">
        <f t="shared" si="20"/>
        <v>9.389929163692079E-3</v>
      </c>
    </row>
    <row r="417" spans="2:11" x14ac:dyDescent="0.25">
      <c r="B417" s="263">
        <v>45014</v>
      </c>
      <c r="C417" s="162">
        <v>4027.81</v>
      </c>
      <c r="D417" s="94">
        <f t="shared" si="18"/>
        <v>1.4237259113583312E-2</v>
      </c>
      <c r="F417" s="161">
        <v>1124.22</v>
      </c>
      <c r="G417" s="94">
        <f t="shared" si="19"/>
        <v>1.9053662073966526E-2</v>
      </c>
      <c r="J417" s="264">
        <v>179.41</v>
      </c>
      <c r="K417" s="94">
        <f t="shared" si="20"/>
        <v>-2.3990860624523935E-2</v>
      </c>
    </row>
    <row r="418" spans="2:11" x14ac:dyDescent="0.25">
      <c r="B418" s="263">
        <v>45015</v>
      </c>
      <c r="C418" s="162">
        <v>4050.83</v>
      </c>
      <c r="D418" s="94">
        <f t="shared" si="18"/>
        <v>5.7152646227105475E-3</v>
      </c>
      <c r="F418" s="161">
        <v>1134.3</v>
      </c>
      <c r="G418" s="94">
        <f t="shared" si="19"/>
        <v>8.9662165768265023E-3</v>
      </c>
      <c r="J418" s="264">
        <v>179.72</v>
      </c>
      <c r="K418" s="94">
        <f t="shared" si="20"/>
        <v>1.7278858480576087E-3</v>
      </c>
    </row>
    <row r="419" spans="2:11" x14ac:dyDescent="0.25">
      <c r="B419" s="263">
        <v>45016</v>
      </c>
      <c r="C419" s="162">
        <v>4109.3100000000004</v>
      </c>
      <c r="D419" s="94">
        <f t="shared" si="18"/>
        <v>1.4436547571732294E-2</v>
      </c>
      <c r="F419" s="161">
        <v>1163.98</v>
      </c>
      <c r="G419" s="94">
        <f t="shared" si="19"/>
        <v>2.6165917305827513E-2</v>
      </c>
      <c r="J419" s="264">
        <v>183.58</v>
      </c>
      <c r="K419" s="94">
        <f t="shared" si="20"/>
        <v>2.1477854440240529E-2</v>
      </c>
    </row>
    <row r="420" spans="2:11" x14ac:dyDescent="0.25">
      <c r="B420" s="263">
        <v>45019</v>
      </c>
      <c r="C420" s="162">
        <v>4124.51</v>
      </c>
      <c r="D420" s="94">
        <f t="shared" si="18"/>
        <v>3.6989178231867648E-3</v>
      </c>
      <c r="F420" s="161">
        <v>1153.3499999999999</v>
      </c>
      <c r="G420" s="94">
        <f t="shared" si="19"/>
        <v>-9.1324593206070226E-3</v>
      </c>
      <c r="J420" s="264">
        <v>187.78</v>
      </c>
      <c r="K420" s="94">
        <f t="shared" si="20"/>
        <v>2.2878309184007017E-2</v>
      </c>
    </row>
    <row r="421" spans="2:11" x14ac:dyDescent="0.25">
      <c r="B421" s="263">
        <v>45020</v>
      </c>
      <c r="C421" s="162">
        <v>4100.6000000000004</v>
      </c>
      <c r="D421" s="94">
        <f t="shared" si="18"/>
        <v>-5.7970522559043225E-3</v>
      </c>
      <c r="F421" s="161">
        <v>1152.52</v>
      </c>
      <c r="G421" s="94">
        <f t="shared" si="19"/>
        <v>-7.1964277972857982E-4</v>
      </c>
      <c r="J421" s="264">
        <v>176.41</v>
      </c>
      <c r="K421" s="94">
        <f t="shared" si="20"/>
        <v>-6.0549579294919664E-2</v>
      </c>
    </row>
    <row r="422" spans="2:11" x14ac:dyDescent="0.25">
      <c r="B422" s="263">
        <v>45021</v>
      </c>
      <c r="C422" s="162">
        <v>4090.38</v>
      </c>
      <c r="D422" s="94">
        <f t="shared" si="18"/>
        <v>-2.4923181973370845E-3</v>
      </c>
      <c r="F422" s="161">
        <v>1129.03</v>
      </c>
      <c r="G422" s="94">
        <f t="shared" si="19"/>
        <v>-2.0381425051192226E-2</v>
      </c>
      <c r="J422" s="264">
        <v>179.25</v>
      </c>
      <c r="K422" s="94">
        <f t="shared" si="20"/>
        <v>1.6098860608809051E-2</v>
      </c>
    </row>
    <row r="423" spans="2:11" x14ac:dyDescent="0.25">
      <c r="B423" s="263">
        <v>45022</v>
      </c>
      <c r="C423" s="162">
        <v>4105.0200000000004</v>
      </c>
      <c r="D423" s="94">
        <f t="shared" si="18"/>
        <v>3.5791295674241219E-3</v>
      </c>
      <c r="F423" s="161">
        <v>1129.5899999999999</v>
      </c>
      <c r="G423" s="94">
        <f t="shared" si="19"/>
        <v>4.9600099200186598E-4</v>
      </c>
      <c r="J423" s="264">
        <v>180.13</v>
      </c>
      <c r="K423" s="94">
        <f t="shared" si="20"/>
        <v>4.9093444909344974E-3</v>
      </c>
    </row>
    <row r="424" spans="2:11" x14ac:dyDescent="0.25">
      <c r="B424" s="263">
        <v>45026</v>
      </c>
      <c r="C424" s="162">
        <v>4109.1099999999997</v>
      </c>
      <c r="D424" s="94">
        <f t="shared" si="18"/>
        <v>9.9634106532953126E-4</v>
      </c>
      <c r="F424" s="161">
        <v>1134.3900000000001</v>
      </c>
      <c r="G424" s="94">
        <f t="shared" si="19"/>
        <v>4.2493294027037276E-3</v>
      </c>
      <c r="J424" s="264">
        <v>178.33</v>
      </c>
      <c r="K424" s="94">
        <f t="shared" si="20"/>
        <v>-9.9927829900626763E-3</v>
      </c>
    </row>
    <row r="425" spans="2:11" x14ac:dyDescent="0.25">
      <c r="B425" s="263">
        <v>45027</v>
      </c>
      <c r="C425" s="162">
        <v>4108.9399999999996</v>
      </c>
      <c r="D425" s="94">
        <f t="shared" si="18"/>
        <v>-4.1371489203245737E-5</v>
      </c>
      <c r="F425" s="161">
        <v>1134.57</v>
      </c>
      <c r="G425" s="94">
        <f t="shared" si="19"/>
        <v>1.5867558776072599E-4</v>
      </c>
      <c r="J425" s="264">
        <v>182.05</v>
      </c>
      <c r="K425" s="94">
        <f t="shared" si="20"/>
        <v>2.0860202994448462E-2</v>
      </c>
    </row>
    <row r="426" spans="2:11" x14ac:dyDescent="0.25">
      <c r="B426" s="263">
        <v>45028</v>
      </c>
      <c r="C426" s="162">
        <v>4091.95</v>
      </c>
      <c r="D426" s="94">
        <f t="shared" si="18"/>
        <v>-4.1348863697205918E-3</v>
      </c>
      <c r="F426" s="161">
        <v>1117.0899999999999</v>
      </c>
      <c r="G426" s="94">
        <f t="shared" si="19"/>
        <v>-1.5406717963633798E-2</v>
      </c>
      <c r="J426" s="264">
        <v>176.51</v>
      </c>
      <c r="K426" s="94">
        <f t="shared" si="20"/>
        <v>-3.0431200219720012E-2</v>
      </c>
    </row>
    <row r="427" spans="2:11" x14ac:dyDescent="0.25">
      <c r="B427" s="263">
        <v>45029</v>
      </c>
      <c r="C427" s="162">
        <v>4146.22</v>
      </c>
      <c r="D427" s="94">
        <f t="shared" si="18"/>
        <v>1.3262625398648753E-2</v>
      </c>
      <c r="F427" s="161">
        <v>1142.93</v>
      </c>
      <c r="G427" s="94">
        <f t="shared" si="19"/>
        <v>2.3131529241153581E-2</v>
      </c>
      <c r="J427" s="264">
        <v>180.06</v>
      </c>
      <c r="K427" s="94">
        <f t="shared" si="20"/>
        <v>2.0112174947595207E-2</v>
      </c>
    </row>
    <row r="428" spans="2:11" x14ac:dyDescent="0.25">
      <c r="B428" s="263">
        <v>45030</v>
      </c>
      <c r="C428" s="162">
        <v>4137.6400000000003</v>
      </c>
      <c r="D428" s="94">
        <f t="shared" si="18"/>
        <v>-2.0693547375681964E-3</v>
      </c>
      <c r="F428" s="161">
        <v>1144.4000000000001</v>
      </c>
      <c r="G428" s="94">
        <f t="shared" si="19"/>
        <v>1.2861680067894898E-3</v>
      </c>
      <c r="J428" s="264">
        <v>185.39</v>
      </c>
      <c r="K428" s="94">
        <f t="shared" si="20"/>
        <v>2.9601244029767715E-2</v>
      </c>
    </row>
    <row r="429" spans="2:11" x14ac:dyDescent="0.25">
      <c r="B429" s="263">
        <v>45033</v>
      </c>
      <c r="C429" s="162">
        <v>4151.32</v>
      </c>
      <c r="D429" s="94">
        <f t="shared" si="18"/>
        <v>3.3062325383550473E-3</v>
      </c>
      <c r="F429" s="161">
        <v>1152.1500000000001</v>
      </c>
      <c r="G429" s="94">
        <f t="shared" si="19"/>
        <v>6.7721076546662928E-3</v>
      </c>
      <c r="J429" s="264">
        <v>185.48</v>
      </c>
      <c r="K429" s="94">
        <f t="shared" si="20"/>
        <v>4.8546307783592368E-4</v>
      </c>
    </row>
    <row r="430" spans="2:11" x14ac:dyDescent="0.25">
      <c r="B430" s="263">
        <v>45034</v>
      </c>
      <c r="C430" s="162">
        <v>4154.87</v>
      </c>
      <c r="D430" s="94">
        <f t="shared" si="18"/>
        <v>8.5514968732836039E-4</v>
      </c>
      <c r="F430" s="161">
        <v>1153.5899999999999</v>
      </c>
      <c r="G430" s="94">
        <f t="shared" si="19"/>
        <v>1.2498372607732122E-3</v>
      </c>
      <c r="J430" s="264">
        <v>188.45</v>
      </c>
      <c r="K430" s="94">
        <f t="shared" si="20"/>
        <v>1.6012508087125399E-2</v>
      </c>
    </row>
    <row r="431" spans="2:11" x14ac:dyDescent="0.25">
      <c r="B431" s="263">
        <v>45035</v>
      </c>
      <c r="C431" s="162">
        <v>4154.5200000000004</v>
      </c>
      <c r="D431" s="94">
        <f t="shared" si="18"/>
        <v>-8.4238496029787058E-5</v>
      </c>
      <c r="F431" s="161">
        <v>1153.8499999999999</v>
      </c>
      <c r="G431" s="94">
        <f t="shared" si="19"/>
        <v>2.2538336844113438E-4</v>
      </c>
      <c r="J431" s="264">
        <v>187.43</v>
      </c>
      <c r="K431" s="94">
        <f t="shared" si="20"/>
        <v>-5.4125762801803257E-3</v>
      </c>
    </row>
    <row r="432" spans="2:11" x14ac:dyDescent="0.25">
      <c r="B432" s="263">
        <v>45036</v>
      </c>
      <c r="C432" s="162">
        <v>4129.79</v>
      </c>
      <c r="D432" s="94">
        <f t="shared" si="18"/>
        <v>-5.952552882162232E-3</v>
      </c>
      <c r="F432" s="161">
        <v>1136.78</v>
      </c>
      <c r="G432" s="94">
        <f t="shared" si="19"/>
        <v>-1.4793950686830981E-2</v>
      </c>
      <c r="J432" s="264">
        <v>188.78</v>
      </c>
      <c r="K432" s="94">
        <f t="shared" si="20"/>
        <v>7.2026890038947577E-3</v>
      </c>
    </row>
    <row r="433" spans="2:11" x14ac:dyDescent="0.25">
      <c r="B433" s="263">
        <v>45037</v>
      </c>
      <c r="C433" s="162">
        <v>4133.5200000000004</v>
      </c>
      <c r="D433" s="94">
        <f t="shared" si="18"/>
        <v>9.0319362485757893E-4</v>
      </c>
      <c r="F433" s="161">
        <v>1150.47</v>
      </c>
      <c r="G433" s="94">
        <f t="shared" si="19"/>
        <v>1.2042787522651643E-2</v>
      </c>
      <c r="J433" s="264">
        <v>190.36</v>
      </c>
      <c r="K433" s="94">
        <f t="shared" si="20"/>
        <v>8.3695306706219608E-3</v>
      </c>
    </row>
    <row r="434" spans="2:11" x14ac:dyDescent="0.25">
      <c r="B434" s="263">
        <v>45040</v>
      </c>
      <c r="C434" s="162">
        <v>4137.04</v>
      </c>
      <c r="D434" s="94">
        <f t="shared" si="18"/>
        <v>8.5157444502503843E-4</v>
      </c>
      <c r="F434" s="161">
        <v>1149.6400000000001</v>
      </c>
      <c r="G434" s="94">
        <f t="shared" si="19"/>
        <v>-7.2144427929443644E-4</v>
      </c>
      <c r="J434" s="264">
        <v>196.82</v>
      </c>
      <c r="K434" s="94">
        <f t="shared" si="20"/>
        <v>3.3935700777474098E-2</v>
      </c>
    </row>
    <row r="435" spans="2:11" x14ac:dyDescent="0.25">
      <c r="B435" s="263">
        <v>45041</v>
      </c>
      <c r="C435" s="162">
        <v>4071.63</v>
      </c>
      <c r="D435" s="94">
        <f t="shared" si="18"/>
        <v>-1.5810821263512076E-2</v>
      </c>
      <c r="F435" s="161">
        <v>1126.0999999999999</v>
      </c>
      <c r="G435" s="94">
        <f t="shared" si="19"/>
        <v>-2.0475975087853704E-2</v>
      </c>
      <c r="J435" s="264">
        <v>195.63</v>
      </c>
      <c r="K435" s="94">
        <f t="shared" si="20"/>
        <v>-6.046133523015973E-3</v>
      </c>
    </row>
    <row r="436" spans="2:11" x14ac:dyDescent="0.25">
      <c r="B436" s="263">
        <v>45042</v>
      </c>
      <c r="C436" s="162">
        <v>4055.99</v>
      </c>
      <c r="D436" s="94">
        <f t="shared" si="18"/>
        <v>-3.8412134697898281E-3</v>
      </c>
      <c r="F436" s="161">
        <v>1121.81</v>
      </c>
      <c r="G436" s="94">
        <f t="shared" si="19"/>
        <v>-3.8096083829144423E-3</v>
      </c>
      <c r="J436" s="264">
        <v>199.39</v>
      </c>
      <c r="K436" s="94">
        <f t="shared" si="20"/>
        <v>1.9219956039462138E-2</v>
      </c>
    </row>
    <row r="437" spans="2:11" x14ac:dyDescent="0.25">
      <c r="B437" s="263">
        <v>45043</v>
      </c>
      <c r="C437" s="162">
        <v>4135.3500000000004</v>
      </c>
      <c r="D437" s="94">
        <f t="shared" si="18"/>
        <v>1.9566123190639217E-2</v>
      </c>
      <c r="F437" s="161">
        <v>1152.8499999999999</v>
      </c>
      <c r="G437" s="94">
        <f t="shared" si="19"/>
        <v>2.7669569713231201E-2</v>
      </c>
      <c r="J437" s="264">
        <v>199.05</v>
      </c>
      <c r="K437" s="94">
        <f t="shared" si="20"/>
        <v>-1.705200862630929E-3</v>
      </c>
    </row>
    <row r="438" spans="2:11" x14ac:dyDescent="0.25">
      <c r="B438" s="263">
        <v>45044</v>
      </c>
      <c r="C438" s="162">
        <v>4169.4799999999996</v>
      </c>
      <c r="D438" s="94">
        <f t="shared" si="18"/>
        <v>8.2532312863479174E-3</v>
      </c>
      <c r="F438" s="161">
        <v>1152.42</v>
      </c>
      <c r="G438" s="94">
        <f t="shared" si="19"/>
        <v>-3.7298868022717091E-4</v>
      </c>
      <c r="J438" s="264">
        <v>200.11</v>
      </c>
      <c r="K438" s="94">
        <f t="shared" si="20"/>
        <v>5.3252951519717762E-3</v>
      </c>
    </row>
    <row r="439" spans="2:11" x14ac:dyDescent="0.25">
      <c r="B439" s="263">
        <v>45047</v>
      </c>
      <c r="C439" s="162">
        <v>4167.87</v>
      </c>
      <c r="D439" s="94">
        <f t="shared" si="18"/>
        <v>-3.861392787588569E-4</v>
      </c>
      <c r="F439" s="161">
        <v>1140.1500000000001</v>
      </c>
      <c r="G439" s="94">
        <f t="shared" si="19"/>
        <v>-1.0647159889623503E-2</v>
      </c>
      <c r="J439" s="264">
        <v>198.68</v>
      </c>
      <c r="K439" s="94">
        <f t="shared" si="20"/>
        <v>-7.1460696616860719E-3</v>
      </c>
    </row>
    <row r="440" spans="2:11" x14ac:dyDescent="0.25">
      <c r="B440" s="263">
        <v>45048</v>
      </c>
      <c r="C440" s="162">
        <v>4119.58</v>
      </c>
      <c r="D440" s="94">
        <f t="shared" si="18"/>
        <v>-1.1586253889876552E-2</v>
      </c>
      <c r="F440" s="161">
        <v>1141.94</v>
      </c>
      <c r="G440" s="94">
        <f t="shared" si="19"/>
        <v>1.5699688637460518E-3</v>
      </c>
      <c r="J440" s="264">
        <v>199.31</v>
      </c>
      <c r="K440" s="94">
        <f t="shared" si="20"/>
        <v>3.1709281256291355E-3</v>
      </c>
    </row>
    <row r="441" spans="2:11" x14ac:dyDescent="0.25">
      <c r="B441" s="263">
        <v>45049</v>
      </c>
      <c r="C441" s="162">
        <v>4090.75</v>
      </c>
      <c r="D441" s="94">
        <f t="shared" si="18"/>
        <v>-6.9982862330625339E-3</v>
      </c>
      <c r="F441" s="161">
        <v>1133.79</v>
      </c>
      <c r="G441" s="94">
        <f t="shared" si="19"/>
        <v>-7.1369774243831285E-3</v>
      </c>
      <c r="J441" s="264">
        <v>217.95</v>
      </c>
      <c r="K441" s="94">
        <f t="shared" si="20"/>
        <v>9.3522653153379043E-2</v>
      </c>
    </row>
    <row r="442" spans="2:11" x14ac:dyDescent="0.25">
      <c r="B442" s="263">
        <v>45050</v>
      </c>
      <c r="C442" s="162">
        <v>4061.22</v>
      </c>
      <c r="D442" s="94">
        <f t="shared" si="18"/>
        <v>-7.2187251726456569E-3</v>
      </c>
      <c r="F442" s="161">
        <v>1125.9000000000001</v>
      </c>
      <c r="G442" s="94">
        <f t="shared" si="19"/>
        <v>-6.9589606540892968E-3</v>
      </c>
      <c r="J442" s="264">
        <v>207.57</v>
      </c>
      <c r="K442" s="94">
        <f t="shared" si="20"/>
        <v>-4.7625602202340023E-2</v>
      </c>
    </row>
    <row r="443" spans="2:11" x14ac:dyDescent="0.25">
      <c r="B443" s="263">
        <v>45051</v>
      </c>
      <c r="C443" s="162">
        <v>4136.25</v>
      </c>
      <c r="D443" s="94">
        <f t="shared" si="18"/>
        <v>1.8474744042430657E-2</v>
      </c>
      <c r="F443" s="161">
        <v>1148.4000000000001</v>
      </c>
      <c r="G443" s="94">
        <f t="shared" si="19"/>
        <v>1.9984012789768135E-2</v>
      </c>
      <c r="J443" s="264">
        <v>210.23</v>
      </c>
      <c r="K443" s="94">
        <f t="shared" si="20"/>
        <v>1.2814953991424627E-2</v>
      </c>
    </row>
    <row r="444" spans="2:11" x14ac:dyDescent="0.25">
      <c r="B444" s="263">
        <v>45054</v>
      </c>
      <c r="C444" s="162">
        <v>4138.12</v>
      </c>
      <c r="D444" s="94">
        <f t="shared" si="18"/>
        <v>4.5210033242670811E-4</v>
      </c>
      <c r="F444" s="161">
        <v>1151.9000000000001</v>
      </c>
      <c r="G444" s="94">
        <f t="shared" si="19"/>
        <v>3.0477185649600003E-3</v>
      </c>
      <c r="J444" s="264">
        <v>206.42</v>
      </c>
      <c r="K444" s="94">
        <f t="shared" si="20"/>
        <v>-1.8123008133948515E-2</v>
      </c>
    </row>
    <row r="445" spans="2:11" x14ac:dyDescent="0.25">
      <c r="B445" s="263">
        <v>45055</v>
      </c>
      <c r="C445" s="162">
        <v>4119.17</v>
      </c>
      <c r="D445" s="94">
        <f t="shared" si="18"/>
        <v>-4.5793742085777911E-3</v>
      </c>
      <c r="F445" s="161">
        <v>1152.0999999999999</v>
      </c>
      <c r="G445" s="94">
        <f t="shared" si="19"/>
        <v>1.7362618282823483E-4</v>
      </c>
      <c r="J445" s="264">
        <v>201.76</v>
      </c>
      <c r="K445" s="94">
        <f t="shared" si="20"/>
        <v>-2.2575331847689117E-2</v>
      </c>
    </row>
    <row r="446" spans="2:11" x14ac:dyDescent="0.25">
      <c r="B446" s="263">
        <v>45056</v>
      </c>
      <c r="C446" s="162">
        <v>4137.6400000000003</v>
      </c>
      <c r="D446" s="94">
        <f t="shared" si="18"/>
        <v>4.4839130213125689E-3</v>
      </c>
      <c r="F446" s="161">
        <v>1159.3399999999999</v>
      </c>
      <c r="G446" s="94">
        <f t="shared" si="19"/>
        <v>6.2841767207708621E-3</v>
      </c>
      <c r="J446" s="264">
        <v>203.68</v>
      </c>
      <c r="K446" s="94">
        <f t="shared" si="20"/>
        <v>9.5162569389375395E-3</v>
      </c>
    </row>
    <row r="447" spans="2:11" x14ac:dyDescent="0.25">
      <c r="B447" s="263">
        <v>45057</v>
      </c>
      <c r="C447" s="162">
        <v>4130.62</v>
      </c>
      <c r="D447" s="94">
        <f t="shared" si="18"/>
        <v>-1.6966193288928677E-3</v>
      </c>
      <c r="F447" s="161">
        <v>1165.73</v>
      </c>
      <c r="G447" s="94">
        <f t="shared" si="19"/>
        <v>5.5117566891507153E-3</v>
      </c>
      <c r="J447" s="264">
        <v>206.91</v>
      </c>
      <c r="K447" s="94">
        <f t="shared" si="20"/>
        <v>1.585820895522394E-2</v>
      </c>
    </row>
    <row r="448" spans="2:11" x14ac:dyDescent="0.25">
      <c r="B448" s="263">
        <v>45058</v>
      </c>
      <c r="C448" s="162">
        <v>4124.08</v>
      </c>
      <c r="D448" s="94">
        <f t="shared" si="18"/>
        <v>-1.5832974226629437E-3</v>
      </c>
      <c r="F448" s="161">
        <v>1155.3599999999999</v>
      </c>
      <c r="G448" s="94">
        <f t="shared" si="19"/>
        <v>-8.8957134156281148E-3</v>
      </c>
      <c r="J448" s="264">
        <v>207.41</v>
      </c>
      <c r="K448" s="94">
        <f t="shared" si="20"/>
        <v>2.4165095935431147E-3</v>
      </c>
    </row>
    <row r="449" spans="2:11" x14ac:dyDescent="0.25">
      <c r="B449" s="263">
        <v>45061</v>
      </c>
      <c r="C449" s="162">
        <v>4136.28</v>
      </c>
      <c r="D449" s="94">
        <f t="shared" si="18"/>
        <v>2.958235533743192E-3</v>
      </c>
      <c r="F449" s="161">
        <v>1156.98</v>
      </c>
      <c r="G449" s="94">
        <f t="shared" si="19"/>
        <v>1.40216036560048E-3</v>
      </c>
      <c r="J449" s="264">
        <v>206.29</v>
      </c>
      <c r="K449" s="94">
        <f t="shared" si="20"/>
        <v>-5.399932500843807E-3</v>
      </c>
    </row>
    <row r="450" spans="2:11" x14ac:dyDescent="0.25">
      <c r="B450" s="263">
        <v>45062</v>
      </c>
      <c r="C450" s="162">
        <v>4109.8999999999996</v>
      </c>
      <c r="D450" s="94">
        <f t="shared" si="18"/>
        <v>-6.3777113735047353E-3</v>
      </c>
      <c r="F450" s="161">
        <v>1154.05</v>
      </c>
      <c r="G450" s="94">
        <f t="shared" si="19"/>
        <v>-2.5324551850507415E-3</v>
      </c>
      <c r="J450" s="264">
        <v>201.03</v>
      </c>
      <c r="K450" s="94">
        <f t="shared" si="20"/>
        <v>-2.5498085219836097E-2</v>
      </c>
    </row>
    <row r="451" spans="2:11" x14ac:dyDescent="0.25">
      <c r="B451" s="263">
        <v>45063</v>
      </c>
      <c r="C451" s="162">
        <v>4158.7700000000004</v>
      </c>
      <c r="D451" s="94">
        <f t="shared" si="18"/>
        <v>1.1890800262780221E-2</v>
      </c>
      <c r="F451" s="161">
        <v>1177.5899999999999</v>
      </c>
      <c r="G451" s="94">
        <f t="shared" si="19"/>
        <v>2.0397729734413561E-2</v>
      </c>
      <c r="J451" s="264">
        <v>203.47</v>
      </c>
      <c r="K451" s="94">
        <f t="shared" si="20"/>
        <v>1.2137491916629273E-2</v>
      </c>
    </row>
    <row r="452" spans="2:11" x14ac:dyDescent="0.25">
      <c r="B452" s="263">
        <v>45064</v>
      </c>
      <c r="C452" s="162">
        <v>4198.05</v>
      </c>
      <c r="D452" s="94">
        <f t="shared" si="18"/>
        <v>9.4451003541911049E-3</v>
      </c>
      <c r="F452" s="161">
        <v>1195.75</v>
      </c>
      <c r="G452" s="94">
        <f t="shared" si="19"/>
        <v>1.5421326607732766E-2</v>
      </c>
      <c r="J452" s="264">
        <v>204.1</v>
      </c>
      <c r="K452" s="94">
        <f t="shared" si="20"/>
        <v>3.0962795498108431E-3</v>
      </c>
    </row>
    <row r="453" spans="2:11" x14ac:dyDescent="0.25">
      <c r="B453" s="263">
        <v>45065</v>
      </c>
      <c r="C453" s="162">
        <v>4191.9799999999996</v>
      </c>
      <c r="D453" s="94">
        <f t="shared" si="18"/>
        <v>-1.445909410321633E-3</v>
      </c>
      <c r="F453" s="161">
        <v>1185.73</v>
      </c>
      <c r="G453" s="94">
        <f t="shared" si="19"/>
        <v>-8.3796780263433179E-3</v>
      </c>
      <c r="J453" s="264">
        <v>206.74</v>
      </c>
      <c r="K453" s="94">
        <f t="shared" si="20"/>
        <v>1.2934835864772287E-2</v>
      </c>
    </row>
    <row r="454" spans="2:11" x14ac:dyDescent="0.25">
      <c r="B454" s="263">
        <v>45068</v>
      </c>
      <c r="C454" s="162">
        <v>4192.63</v>
      </c>
      <c r="D454" s="94">
        <f t="shared" si="18"/>
        <v>1.5505799168891166E-4</v>
      </c>
      <c r="F454" s="161">
        <v>1181.3699999999999</v>
      </c>
      <c r="G454" s="94">
        <f t="shared" si="19"/>
        <v>-3.6770597016184681E-3</v>
      </c>
      <c r="J454" s="264">
        <v>204.24</v>
      </c>
      <c r="K454" s="94">
        <f t="shared" si="20"/>
        <v>-1.2092483312373004E-2</v>
      </c>
    </row>
    <row r="455" spans="2:11" x14ac:dyDescent="0.25">
      <c r="B455" s="263">
        <v>45069</v>
      </c>
      <c r="C455" s="162">
        <v>4145.58</v>
      </c>
      <c r="D455" s="94">
        <f t="shared" si="18"/>
        <v>-1.1222073018606449E-2</v>
      </c>
      <c r="F455" s="161">
        <v>1171.0899999999999</v>
      </c>
      <c r="G455" s="94">
        <f t="shared" si="19"/>
        <v>-8.7017615141742333E-3</v>
      </c>
      <c r="J455" s="264">
        <v>202.45</v>
      </c>
      <c r="K455" s="94">
        <f t="shared" si="20"/>
        <v>-8.7641989815904209E-3</v>
      </c>
    </row>
    <row r="456" spans="2:11" x14ac:dyDescent="0.25">
      <c r="B456" s="263">
        <v>45070</v>
      </c>
      <c r="C456" s="162">
        <v>4115.24</v>
      </c>
      <c r="D456" s="94">
        <f t="shared" si="18"/>
        <v>-7.3186381640205633E-3</v>
      </c>
      <c r="F456" s="161">
        <v>1168.3800000000001</v>
      </c>
      <c r="G456" s="94">
        <f t="shared" si="19"/>
        <v>-2.3140834607073835E-3</v>
      </c>
      <c r="J456" s="264">
        <v>205.92</v>
      </c>
      <c r="K456" s="94">
        <f t="shared" si="20"/>
        <v>1.7140034576438534E-2</v>
      </c>
    </row>
    <row r="457" spans="2:11" x14ac:dyDescent="0.25">
      <c r="B457" s="263">
        <v>45071</v>
      </c>
      <c r="C457" s="162">
        <v>4151.28</v>
      </c>
      <c r="D457" s="94">
        <f t="shared" ref="D457:D520" si="21">C457/C456-1</f>
        <v>8.7576909244662104E-3</v>
      </c>
      <c r="F457" s="161">
        <v>1162.3399999999999</v>
      </c>
      <c r="G457" s="94">
        <f t="shared" ref="G457:G520" si="22">F457/F456-1</f>
        <v>-5.1695510022425895E-3</v>
      </c>
      <c r="J457" s="264">
        <v>201.1</v>
      </c>
      <c r="K457" s="94">
        <f t="shared" si="20"/>
        <v>-2.3407148407148415E-2</v>
      </c>
    </row>
    <row r="458" spans="2:11" x14ac:dyDescent="0.25">
      <c r="B458" s="263">
        <v>45072</v>
      </c>
      <c r="C458" s="162">
        <v>4205.45</v>
      </c>
      <c r="D458" s="94">
        <f t="shared" si="21"/>
        <v>1.3048987300302572E-2</v>
      </c>
      <c r="F458" s="161">
        <v>1190.01</v>
      </c>
      <c r="G458" s="94">
        <f t="shared" si="22"/>
        <v>2.3805426983498856E-2</v>
      </c>
      <c r="J458" s="264">
        <v>200.77</v>
      </c>
      <c r="K458" s="94">
        <f t="shared" ref="K458:K521" si="23">J458/J457-1</f>
        <v>-1.6409746394827618E-3</v>
      </c>
    </row>
    <row r="459" spans="2:11" x14ac:dyDescent="0.25">
      <c r="B459" s="263">
        <v>45076</v>
      </c>
      <c r="C459" s="162">
        <v>4205.5200000000004</v>
      </c>
      <c r="D459" s="94">
        <f t="shared" si="21"/>
        <v>1.6645067709930572E-5</v>
      </c>
      <c r="F459" s="161">
        <v>1199.02</v>
      </c>
      <c r="G459" s="94">
        <f t="shared" si="22"/>
        <v>7.571364946513004E-3</v>
      </c>
      <c r="J459" s="264">
        <v>201.37</v>
      </c>
      <c r="K459" s="94">
        <f t="shared" si="23"/>
        <v>2.9884942969566897E-3</v>
      </c>
    </row>
    <row r="460" spans="2:11" x14ac:dyDescent="0.25">
      <c r="B460" s="263">
        <v>45077</v>
      </c>
      <c r="C460" s="162">
        <v>4179.83</v>
      </c>
      <c r="D460" s="94">
        <f t="shared" si="21"/>
        <v>-6.1086381707852189E-3</v>
      </c>
      <c r="F460" s="161">
        <v>1188.04</v>
      </c>
      <c r="G460" s="94">
        <f t="shared" si="22"/>
        <v>-9.1574786075294679E-3</v>
      </c>
      <c r="J460" s="264">
        <v>199.36</v>
      </c>
      <c r="K460" s="94">
        <f t="shared" si="23"/>
        <v>-9.9816258628394605E-3</v>
      </c>
    </row>
    <row r="461" spans="2:11" x14ac:dyDescent="0.25">
      <c r="B461" s="263">
        <v>45078</v>
      </c>
      <c r="C461" s="162">
        <v>4221.0200000000004</v>
      </c>
      <c r="D461" s="94">
        <f t="shared" si="21"/>
        <v>9.8544677654355262E-3</v>
      </c>
      <c r="F461" s="161">
        <v>1202.5</v>
      </c>
      <c r="G461" s="94">
        <f t="shared" si="22"/>
        <v>1.2171307363388451E-2</v>
      </c>
      <c r="J461" s="264">
        <v>198.74</v>
      </c>
      <c r="K461" s="94">
        <f t="shared" si="23"/>
        <v>-3.1099518459068998E-3</v>
      </c>
    </row>
    <row r="462" spans="2:11" x14ac:dyDescent="0.25">
      <c r="B462" s="263">
        <v>45079</v>
      </c>
      <c r="C462" s="162">
        <v>4282.37</v>
      </c>
      <c r="D462" s="94">
        <f t="shared" si="21"/>
        <v>1.4534401637518846E-2</v>
      </c>
      <c r="F462" s="161">
        <v>1228.92</v>
      </c>
      <c r="G462" s="94">
        <f t="shared" si="22"/>
        <v>2.1970893970894023E-2</v>
      </c>
      <c r="J462" s="264">
        <v>197.77</v>
      </c>
      <c r="K462" s="94">
        <f t="shared" si="23"/>
        <v>-4.880748716916572E-3</v>
      </c>
    </row>
    <row r="463" spans="2:11" x14ac:dyDescent="0.25">
      <c r="B463" s="263">
        <v>45082</v>
      </c>
      <c r="C463" s="162">
        <v>4273.79</v>
      </c>
      <c r="D463" s="94">
        <f t="shared" si="21"/>
        <v>-2.0035634473434261E-3</v>
      </c>
      <c r="F463" s="161">
        <v>1233.19</v>
      </c>
      <c r="G463" s="94">
        <f t="shared" si="22"/>
        <v>3.4745955798587413E-3</v>
      </c>
      <c r="J463" s="264">
        <v>203.69</v>
      </c>
      <c r="K463" s="94">
        <f t="shared" si="23"/>
        <v>2.993376144005655E-2</v>
      </c>
    </row>
    <row r="464" spans="2:11" x14ac:dyDescent="0.25">
      <c r="B464" s="263">
        <v>45083</v>
      </c>
      <c r="C464" s="162">
        <v>4283.8500000000004</v>
      </c>
      <c r="D464" s="94">
        <f t="shared" si="21"/>
        <v>2.3538826194080542E-3</v>
      </c>
      <c r="F464" s="161">
        <v>1245.44</v>
      </c>
      <c r="G464" s="94">
        <f t="shared" si="22"/>
        <v>9.9335868763126278E-3</v>
      </c>
      <c r="J464" s="264">
        <v>198.48</v>
      </c>
      <c r="K464" s="94">
        <f t="shared" si="23"/>
        <v>-2.5578084343855889E-2</v>
      </c>
    </row>
    <row r="465" spans="2:11" x14ac:dyDescent="0.25">
      <c r="B465" s="263">
        <v>45084</v>
      </c>
      <c r="C465" s="162">
        <v>4267.5200000000004</v>
      </c>
      <c r="D465" s="94">
        <f t="shared" si="21"/>
        <v>-3.8119915496573897E-3</v>
      </c>
      <c r="F465" s="161">
        <v>1234.1400000000001</v>
      </c>
      <c r="G465" s="94">
        <f t="shared" si="22"/>
        <v>-9.0730986639259159E-3</v>
      </c>
      <c r="J465" s="264">
        <v>196.08</v>
      </c>
      <c r="K465" s="94">
        <f t="shared" si="23"/>
        <v>-1.2091898428053138E-2</v>
      </c>
    </row>
    <row r="466" spans="2:11" x14ac:dyDescent="0.25">
      <c r="B466" s="263">
        <v>45085</v>
      </c>
      <c r="C466" s="162">
        <v>4293.93</v>
      </c>
      <c r="D466" s="94">
        <f t="shared" si="21"/>
        <v>6.1886060287941191E-3</v>
      </c>
      <c r="F466" s="161">
        <v>1253.45</v>
      </c>
      <c r="G466" s="94">
        <f t="shared" si="22"/>
        <v>1.564652308490122E-2</v>
      </c>
      <c r="J466" s="264">
        <v>193.41</v>
      </c>
      <c r="K466" s="94">
        <f t="shared" si="23"/>
        <v>-1.3616891064871517E-2</v>
      </c>
    </row>
    <row r="467" spans="2:11" x14ac:dyDescent="0.25">
      <c r="B467" s="263">
        <v>45086</v>
      </c>
      <c r="C467" s="162">
        <v>4298.8599999999997</v>
      </c>
      <c r="D467" s="94">
        <f t="shared" si="21"/>
        <v>1.1481323635922358E-3</v>
      </c>
      <c r="F467" s="161">
        <v>1258.94</v>
      </c>
      <c r="G467" s="94">
        <f t="shared" si="22"/>
        <v>4.3799114444134091E-3</v>
      </c>
      <c r="J467" s="264">
        <v>188.87</v>
      </c>
      <c r="K467" s="94">
        <f t="shared" si="23"/>
        <v>-2.347345018354785E-2</v>
      </c>
    </row>
    <row r="468" spans="2:11" x14ac:dyDescent="0.25">
      <c r="B468" s="263">
        <v>45089</v>
      </c>
      <c r="C468" s="162">
        <v>4338.93</v>
      </c>
      <c r="D468" s="94">
        <f t="shared" si="21"/>
        <v>9.3210758201012212E-3</v>
      </c>
      <c r="F468" s="161">
        <v>1280.79</v>
      </c>
      <c r="G468" s="94">
        <f t="shared" si="22"/>
        <v>1.7355870811952778E-2</v>
      </c>
      <c r="J468" s="264">
        <v>190.6</v>
      </c>
      <c r="K468" s="94">
        <f t="shared" si="23"/>
        <v>9.1597395033620188E-3</v>
      </c>
    </row>
    <row r="469" spans="2:11" x14ac:dyDescent="0.25">
      <c r="B469" s="263">
        <v>45090</v>
      </c>
      <c r="C469" s="162">
        <v>4369.01</v>
      </c>
      <c r="D469" s="94">
        <f t="shared" si="21"/>
        <v>6.9325847616807934E-3</v>
      </c>
      <c r="F469" s="161">
        <v>1293.6500000000001</v>
      </c>
      <c r="G469" s="94">
        <f t="shared" si="22"/>
        <v>1.0040678019035187E-2</v>
      </c>
      <c r="J469" s="264">
        <v>188.29</v>
      </c>
      <c r="K469" s="94">
        <f t="shared" si="23"/>
        <v>-1.2119622245540418E-2</v>
      </c>
    </row>
    <row r="470" spans="2:11" x14ac:dyDescent="0.25">
      <c r="B470" s="263">
        <v>45091</v>
      </c>
      <c r="C470" s="162">
        <v>4372.59</v>
      </c>
      <c r="D470" s="94">
        <f t="shared" si="21"/>
        <v>8.1940760034870941E-4</v>
      </c>
      <c r="F470" s="161">
        <v>1292.23</v>
      </c>
      <c r="G470" s="94">
        <f t="shared" si="22"/>
        <v>-1.0976693850732744E-3</v>
      </c>
      <c r="J470" s="264">
        <v>191.73</v>
      </c>
      <c r="K470" s="94">
        <f t="shared" si="23"/>
        <v>1.8269690371235825E-2</v>
      </c>
    </row>
    <row r="471" spans="2:11" x14ac:dyDescent="0.25">
      <c r="B471" s="263">
        <v>45092</v>
      </c>
      <c r="C471" s="162">
        <v>4425.84</v>
      </c>
      <c r="D471" s="94">
        <f t="shared" si="21"/>
        <v>1.2178136985173449E-2</v>
      </c>
      <c r="F471" s="161">
        <v>1301.04</v>
      </c>
      <c r="G471" s="94">
        <f t="shared" si="22"/>
        <v>6.8176717766961215E-3</v>
      </c>
      <c r="J471" s="264">
        <v>188.94</v>
      </c>
      <c r="K471" s="94">
        <f t="shared" si="23"/>
        <v>-1.455171334689398E-2</v>
      </c>
    </row>
    <row r="472" spans="2:11" x14ac:dyDescent="0.25">
      <c r="B472" s="263">
        <v>45093</v>
      </c>
      <c r="C472" s="162">
        <v>4409.59</v>
      </c>
      <c r="D472" s="94">
        <f t="shared" si="21"/>
        <v>-3.6716193988033385E-3</v>
      </c>
      <c r="F472" s="161">
        <v>1298.6500000000001</v>
      </c>
      <c r="G472" s="94">
        <f t="shared" si="22"/>
        <v>-1.8369919449054972E-3</v>
      </c>
      <c r="J472" s="264">
        <v>188.17</v>
      </c>
      <c r="K472" s="94">
        <f t="shared" si="23"/>
        <v>-4.0753678416428629E-3</v>
      </c>
    </row>
    <row r="473" spans="2:11" x14ac:dyDescent="0.25">
      <c r="B473" s="263">
        <v>45097</v>
      </c>
      <c r="C473" s="162">
        <v>4388.71</v>
      </c>
      <c r="D473" s="94">
        <f t="shared" si="21"/>
        <v>-4.7351341054383544E-3</v>
      </c>
      <c r="F473" s="161">
        <v>1308.3900000000001</v>
      </c>
      <c r="G473" s="94">
        <f t="shared" si="22"/>
        <v>7.5000962538021021E-3</v>
      </c>
      <c r="J473" s="264">
        <v>189.83</v>
      </c>
      <c r="K473" s="94">
        <f t="shared" si="23"/>
        <v>8.821810065366531E-3</v>
      </c>
    </row>
    <row r="474" spans="2:11" x14ac:dyDescent="0.25">
      <c r="B474" s="263">
        <v>45098</v>
      </c>
      <c r="C474" s="162">
        <v>4365.6899999999996</v>
      </c>
      <c r="D474" s="94">
        <f t="shared" si="21"/>
        <v>-5.245277085977551E-3</v>
      </c>
      <c r="F474" s="161">
        <v>1293.07</v>
      </c>
      <c r="G474" s="94">
        <f t="shared" si="22"/>
        <v>-1.1709046996690731E-2</v>
      </c>
      <c r="J474" s="264">
        <v>191.74</v>
      </c>
      <c r="K474" s="94">
        <f t="shared" si="23"/>
        <v>1.0061634093662786E-2</v>
      </c>
    </row>
    <row r="475" spans="2:11" x14ac:dyDescent="0.25">
      <c r="B475" s="263">
        <v>45099</v>
      </c>
      <c r="C475" s="162">
        <v>4381.8900000000003</v>
      </c>
      <c r="D475" s="94">
        <f t="shared" si="21"/>
        <v>3.7107536265745811E-3</v>
      </c>
      <c r="F475" s="161">
        <v>1312.91</v>
      </c>
      <c r="G475" s="94">
        <f t="shared" si="22"/>
        <v>1.5343330214141693E-2</v>
      </c>
      <c r="J475" s="264">
        <v>186.44</v>
      </c>
      <c r="K475" s="94">
        <f t="shared" si="23"/>
        <v>-2.7641597997288048E-2</v>
      </c>
    </row>
    <row r="476" spans="2:11" x14ac:dyDescent="0.25">
      <c r="B476" s="263">
        <v>45100</v>
      </c>
      <c r="C476" s="162">
        <v>4348.33</v>
      </c>
      <c r="D476" s="94">
        <f t="shared" si="21"/>
        <v>-7.6587956338476371E-3</v>
      </c>
      <c r="F476" s="161">
        <v>1298.4000000000001</v>
      </c>
      <c r="G476" s="94">
        <f t="shared" si="22"/>
        <v>-1.1051785727886898E-2</v>
      </c>
      <c r="J476" s="264">
        <v>187.32</v>
      </c>
      <c r="K476" s="94">
        <f t="shared" si="23"/>
        <v>4.720017163698742E-3</v>
      </c>
    </row>
    <row r="477" spans="2:11" x14ac:dyDescent="0.25">
      <c r="B477" s="263">
        <v>45103</v>
      </c>
      <c r="C477" s="162">
        <v>4328.82</v>
      </c>
      <c r="D477" s="94">
        <f t="shared" si="21"/>
        <v>-4.4867799822001508E-3</v>
      </c>
      <c r="F477" s="161">
        <v>1282.2</v>
      </c>
      <c r="G477" s="94">
        <f t="shared" si="22"/>
        <v>-1.2476894639556368E-2</v>
      </c>
      <c r="J477" s="264">
        <v>188.75</v>
      </c>
      <c r="K477" s="94">
        <f t="shared" si="23"/>
        <v>7.6339953021566931E-3</v>
      </c>
    </row>
    <row r="478" spans="2:11" x14ac:dyDescent="0.25">
      <c r="B478" s="263">
        <v>45104</v>
      </c>
      <c r="C478" s="162">
        <v>4378.41</v>
      </c>
      <c r="D478" s="94">
        <f t="shared" si="21"/>
        <v>1.1455777787018118E-2</v>
      </c>
      <c r="F478" s="161">
        <v>1308.58</v>
      </c>
      <c r="G478" s="94">
        <f t="shared" si="22"/>
        <v>2.057401341444387E-2</v>
      </c>
      <c r="J478" s="264">
        <v>196.1</v>
      </c>
      <c r="K478" s="94">
        <f t="shared" si="23"/>
        <v>3.8940397350993416E-2</v>
      </c>
    </row>
    <row r="479" spans="2:11" x14ac:dyDescent="0.25">
      <c r="B479" s="263">
        <v>45105</v>
      </c>
      <c r="C479" s="162">
        <v>4376.8599999999997</v>
      </c>
      <c r="D479" s="94">
        <f t="shared" si="21"/>
        <v>-3.5400978894173374E-4</v>
      </c>
      <c r="F479" s="161">
        <v>1311.84</v>
      </c>
      <c r="G479" s="94">
        <f t="shared" si="22"/>
        <v>2.4912500573139873E-3</v>
      </c>
      <c r="J479" s="264">
        <v>200.26</v>
      </c>
      <c r="K479" s="94">
        <f t="shared" si="23"/>
        <v>2.1213666496685324E-2</v>
      </c>
    </row>
    <row r="480" spans="2:11" x14ac:dyDescent="0.25">
      <c r="B480" s="263">
        <v>45106</v>
      </c>
      <c r="C480" s="162">
        <v>4396.4399999999996</v>
      </c>
      <c r="D480" s="94">
        <f t="shared" si="21"/>
        <v>4.4735266835127518E-3</v>
      </c>
      <c r="F480" s="161">
        <v>1312.58</v>
      </c>
      <c r="G480" s="94">
        <f t="shared" si="22"/>
        <v>5.6409318209538206E-4</v>
      </c>
      <c r="J480" s="264">
        <v>196.82</v>
      </c>
      <c r="K480" s="94">
        <f t="shared" si="23"/>
        <v>-1.7177669030260634E-2</v>
      </c>
    </row>
    <row r="481" spans="2:11" x14ac:dyDescent="0.25">
      <c r="B481" s="263">
        <v>45107</v>
      </c>
      <c r="C481" s="162">
        <v>4450.38</v>
      </c>
      <c r="D481" s="94">
        <f t="shared" si="21"/>
        <v>1.2269017659743087E-2</v>
      </c>
      <c r="F481" s="161">
        <v>1330.54</v>
      </c>
      <c r="G481" s="94">
        <f t="shared" si="22"/>
        <v>1.368297551387343E-2</v>
      </c>
      <c r="J481" s="264">
        <v>200.16</v>
      </c>
      <c r="K481" s="94">
        <f t="shared" si="23"/>
        <v>1.6969820140229741E-2</v>
      </c>
    </row>
    <row r="482" spans="2:11" x14ac:dyDescent="0.25">
      <c r="B482" s="263">
        <v>45110</v>
      </c>
      <c r="C482" s="162">
        <v>4455.59</v>
      </c>
      <c r="D482" s="94">
        <f t="shared" si="21"/>
        <v>1.1706865481149187E-3</v>
      </c>
      <c r="F482" s="161">
        <v>1344.84</v>
      </c>
      <c r="G482" s="94">
        <f t="shared" si="22"/>
        <v>1.0747516046116568E-2</v>
      </c>
      <c r="J482" s="264">
        <v>195.65</v>
      </c>
      <c r="K482" s="94">
        <f t="shared" si="23"/>
        <v>-2.2531974420463619E-2</v>
      </c>
    </row>
    <row r="483" spans="2:11" x14ac:dyDescent="0.25">
      <c r="B483" s="263">
        <v>45112</v>
      </c>
      <c r="C483" s="162">
        <v>4446.82</v>
      </c>
      <c r="D483" s="94">
        <f t="shared" si="21"/>
        <v>-1.9683139606652134E-3</v>
      </c>
      <c r="F483" s="161">
        <v>1345.97</v>
      </c>
      <c r="G483" s="94">
        <f t="shared" si="22"/>
        <v>8.402486541150278E-4</v>
      </c>
      <c r="J483" s="264">
        <v>189.47</v>
      </c>
      <c r="K483" s="94">
        <f t="shared" si="23"/>
        <v>-3.1587017633529335E-2</v>
      </c>
    </row>
    <row r="484" spans="2:11" x14ac:dyDescent="0.25">
      <c r="B484" s="263">
        <v>45113</v>
      </c>
      <c r="C484" s="162">
        <v>4411.59</v>
      </c>
      <c r="D484" s="94">
        <f t="shared" si="21"/>
        <v>-7.9225154155103672E-3</v>
      </c>
      <c r="F484" s="161">
        <v>1323.82</v>
      </c>
      <c r="G484" s="94">
        <f t="shared" si="22"/>
        <v>-1.6456533206535173E-2</v>
      </c>
      <c r="J484" s="264">
        <v>185.91</v>
      </c>
      <c r="K484" s="94">
        <f t="shared" si="23"/>
        <v>-1.8789254235499042E-2</v>
      </c>
    </row>
    <row r="485" spans="2:11" x14ac:dyDescent="0.25">
      <c r="B485" s="263">
        <v>45114</v>
      </c>
      <c r="C485" s="162">
        <v>4398.95</v>
      </c>
      <c r="D485" s="94">
        <f t="shared" si="21"/>
        <v>-2.8651801277997935E-3</v>
      </c>
      <c r="F485" s="161">
        <v>1326.17</v>
      </c>
      <c r="G485" s="94">
        <f t="shared" si="22"/>
        <v>1.7751658080404908E-3</v>
      </c>
      <c r="J485" s="264">
        <v>186.95</v>
      </c>
      <c r="K485" s="94">
        <f t="shared" si="23"/>
        <v>5.5941046743046563E-3</v>
      </c>
    </row>
    <row r="486" spans="2:11" x14ac:dyDescent="0.25">
      <c r="B486" s="263">
        <v>45117</v>
      </c>
      <c r="C486" s="162">
        <v>4409.53</v>
      </c>
      <c r="D486" s="94">
        <f t="shared" si="21"/>
        <v>2.4051194034939716E-3</v>
      </c>
      <c r="F486" s="161">
        <v>1327.6</v>
      </c>
      <c r="G486" s="94">
        <f t="shared" si="22"/>
        <v>1.078293129839869E-3</v>
      </c>
      <c r="J486" s="264">
        <v>192.11</v>
      </c>
      <c r="K486" s="94">
        <f t="shared" si="23"/>
        <v>2.7600962824284814E-2</v>
      </c>
    </row>
    <row r="487" spans="2:11" x14ac:dyDescent="0.25">
      <c r="B487" s="263">
        <v>45118</v>
      </c>
      <c r="C487" s="162">
        <v>4439.26</v>
      </c>
      <c r="D487" s="94">
        <f t="shared" si="21"/>
        <v>6.7422151567175792E-3</v>
      </c>
      <c r="F487" s="161">
        <v>1338.99</v>
      </c>
      <c r="G487" s="94">
        <f t="shared" si="22"/>
        <v>8.5793913829468327E-3</v>
      </c>
      <c r="J487" s="264">
        <v>189.04</v>
      </c>
      <c r="K487" s="94">
        <f t="shared" si="23"/>
        <v>-1.5980427879860648E-2</v>
      </c>
    </row>
    <row r="488" spans="2:11" x14ac:dyDescent="0.25">
      <c r="B488" s="263">
        <v>45119</v>
      </c>
      <c r="C488" s="162">
        <v>4472.16</v>
      </c>
      <c r="D488" s="94">
        <f t="shared" si="21"/>
        <v>7.4111451007599083E-3</v>
      </c>
      <c r="F488" s="161">
        <v>1351.81</v>
      </c>
      <c r="G488" s="94">
        <f t="shared" si="22"/>
        <v>9.57438068992289E-3</v>
      </c>
      <c r="J488" s="264">
        <v>195.43</v>
      </c>
      <c r="K488" s="94">
        <f t="shared" si="23"/>
        <v>3.3802369868811022E-2</v>
      </c>
    </row>
    <row r="489" spans="2:11" x14ac:dyDescent="0.25">
      <c r="B489" s="263">
        <v>45120</v>
      </c>
      <c r="C489" s="162">
        <v>4510.04</v>
      </c>
      <c r="D489" s="94">
        <f t="shared" si="21"/>
        <v>8.4701799577833192E-3</v>
      </c>
      <c r="F489" s="161">
        <v>1366.41</v>
      </c>
      <c r="G489" s="94">
        <f t="shared" si="22"/>
        <v>1.0800334366516173E-2</v>
      </c>
      <c r="J489" s="264">
        <v>195.59</v>
      </c>
      <c r="K489" s="94">
        <f t="shared" si="23"/>
        <v>8.1870746558876384E-4</v>
      </c>
    </row>
    <row r="490" spans="2:11" x14ac:dyDescent="0.25">
      <c r="B490" s="263">
        <v>45121</v>
      </c>
      <c r="C490" s="162">
        <v>4505.42</v>
      </c>
      <c r="D490" s="94">
        <f t="shared" si="21"/>
        <v>-1.0243811584819129E-3</v>
      </c>
      <c r="F490" s="161">
        <v>1370.1</v>
      </c>
      <c r="G490" s="94">
        <f t="shared" si="22"/>
        <v>2.7005071684194082E-3</v>
      </c>
      <c r="J490" s="264">
        <v>193.94</v>
      </c>
      <c r="K490" s="94">
        <f t="shared" si="23"/>
        <v>-8.4360141111509135E-3</v>
      </c>
    </row>
    <row r="491" spans="2:11" x14ac:dyDescent="0.25">
      <c r="B491" s="263">
        <v>45124</v>
      </c>
      <c r="C491" s="162">
        <v>4522.79</v>
      </c>
      <c r="D491" s="94">
        <f t="shared" si="21"/>
        <v>3.8553564373575711E-3</v>
      </c>
      <c r="F491" s="161">
        <v>1374.46</v>
      </c>
      <c r="G491" s="94">
        <f t="shared" si="22"/>
        <v>3.1822494708415583E-3</v>
      </c>
      <c r="J491" s="264">
        <v>193.57</v>
      </c>
      <c r="K491" s="94">
        <f t="shared" si="23"/>
        <v>-1.9078065381046283E-3</v>
      </c>
    </row>
    <row r="492" spans="2:11" x14ac:dyDescent="0.25">
      <c r="B492" s="263">
        <v>45125</v>
      </c>
      <c r="C492" s="162">
        <v>4554.9799999999996</v>
      </c>
      <c r="D492" s="94">
        <f t="shared" si="21"/>
        <v>7.1172882225352119E-3</v>
      </c>
      <c r="F492" s="161">
        <v>1378.25</v>
      </c>
      <c r="G492" s="94">
        <f t="shared" si="22"/>
        <v>2.7574465608311005E-3</v>
      </c>
      <c r="J492" s="264">
        <v>192.46</v>
      </c>
      <c r="K492" s="94">
        <f t="shared" si="23"/>
        <v>-5.7343596631708182E-3</v>
      </c>
    </row>
    <row r="493" spans="2:11" x14ac:dyDescent="0.25">
      <c r="B493" s="263">
        <v>45126</v>
      </c>
      <c r="C493" s="162">
        <v>4565.72</v>
      </c>
      <c r="D493" s="94">
        <f t="shared" si="21"/>
        <v>2.3578588709500803E-3</v>
      </c>
      <c r="F493" s="161">
        <v>1385.45</v>
      </c>
      <c r="G493" s="94">
        <f t="shared" si="22"/>
        <v>5.2240159622709559E-3</v>
      </c>
      <c r="J493" s="264">
        <v>187.13</v>
      </c>
      <c r="K493" s="94">
        <f t="shared" si="23"/>
        <v>-2.7694066299490894E-2</v>
      </c>
    </row>
    <row r="494" spans="2:11" x14ac:dyDescent="0.25">
      <c r="B494" s="263">
        <v>45127</v>
      </c>
      <c r="C494" s="162">
        <v>4534.87</v>
      </c>
      <c r="D494" s="94">
        <f t="shared" si="21"/>
        <v>-6.7568751478409572E-3</v>
      </c>
      <c r="F494" s="161">
        <v>1338.34</v>
      </c>
      <c r="G494" s="94">
        <f t="shared" si="22"/>
        <v>-3.40033923995815E-2</v>
      </c>
      <c r="J494" s="264">
        <v>185.46</v>
      </c>
      <c r="K494" s="94">
        <f t="shared" si="23"/>
        <v>-8.9242772404209969E-3</v>
      </c>
    </row>
    <row r="495" spans="2:11" x14ac:dyDescent="0.25">
      <c r="B495" s="263">
        <v>45128</v>
      </c>
      <c r="C495" s="162">
        <v>4536.34</v>
      </c>
      <c r="D495" s="94">
        <f t="shared" si="21"/>
        <v>3.2415482692993436E-4</v>
      </c>
      <c r="F495" s="161">
        <v>1338.83</v>
      </c>
      <c r="G495" s="94">
        <f t="shared" si="22"/>
        <v>3.6612519987455627E-4</v>
      </c>
      <c r="J495" s="264">
        <v>185.78</v>
      </c>
      <c r="K495" s="94">
        <f t="shared" si="23"/>
        <v>1.7254394478594115E-3</v>
      </c>
    </row>
    <row r="496" spans="2:11" x14ac:dyDescent="0.25">
      <c r="B496" s="263">
        <v>45131</v>
      </c>
      <c r="C496" s="162">
        <v>4554.6400000000003</v>
      </c>
      <c r="D496" s="94">
        <f t="shared" si="21"/>
        <v>4.0340891555747938E-3</v>
      </c>
      <c r="F496" s="161">
        <v>1345.84</v>
      </c>
      <c r="G496" s="94">
        <f t="shared" si="22"/>
        <v>5.2359149406571159E-3</v>
      </c>
      <c r="J496" s="264">
        <v>183.39</v>
      </c>
      <c r="K496" s="94">
        <f t="shared" si="23"/>
        <v>-1.2864678652169337E-2</v>
      </c>
    </row>
    <row r="497" spans="2:11" x14ac:dyDescent="0.25">
      <c r="B497" s="263">
        <v>45132</v>
      </c>
      <c r="C497" s="162">
        <v>4567.46</v>
      </c>
      <c r="D497" s="94">
        <f t="shared" si="21"/>
        <v>2.8147120299297779E-3</v>
      </c>
      <c r="F497" s="161">
        <v>1342.8</v>
      </c>
      <c r="G497" s="94">
        <f t="shared" si="22"/>
        <v>-2.258812340248495E-3</v>
      </c>
      <c r="J497" s="264">
        <v>185.12</v>
      </c>
      <c r="K497" s="94">
        <f t="shared" si="23"/>
        <v>9.4334478433939495E-3</v>
      </c>
    </row>
    <row r="498" spans="2:11" x14ac:dyDescent="0.25">
      <c r="B498" s="263">
        <v>45133</v>
      </c>
      <c r="C498" s="162">
        <v>4566.75</v>
      </c>
      <c r="D498" s="94">
        <f t="shared" si="21"/>
        <v>-1.5544744781559316E-4</v>
      </c>
      <c r="F498" s="161">
        <v>1341.96</v>
      </c>
      <c r="G498" s="94">
        <f t="shared" si="22"/>
        <v>-6.2555853440571241E-4</v>
      </c>
      <c r="J498" s="264">
        <v>183.4</v>
      </c>
      <c r="K498" s="94">
        <f t="shared" si="23"/>
        <v>-9.2912705272255591E-3</v>
      </c>
    </row>
    <row r="499" spans="2:11" x14ac:dyDescent="0.25">
      <c r="B499" s="263">
        <v>45134</v>
      </c>
      <c r="C499" s="162">
        <v>4537.41</v>
      </c>
      <c r="D499" s="94">
        <f t="shared" si="21"/>
        <v>-6.4247002791920638E-3</v>
      </c>
      <c r="F499" s="161">
        <v>1330.34</v>
      </c>
      <c r="G499" s="94">
        <f t="shared" si="22"/>
        <v>-8.6589764225462051E-3</v>
      </c>
      <c r="J499" s="264">
        <v>179.01</v>
      </c>
      <c r="K499" s="94">
        <f t="shared" si="23"/>
        <v>-2.3936750272628204E-2</v>
      </c>
    </row>
    <row r="500" spans="2:11" x14ac:dyDescent="0.25">
      <c r="B500" s="263">
        <v>45135</v>
      </c>
      <c r="C500" s="162">
        <v>4582.2299999999996</v>
      </c>
      <c r="D500" s="94">
        <f t="shared" si="21"/>
        <v>9.8778818753428865E-3</v>
      </c>
      <c r="F500" s="161">
        <v>1354.99</v>
      </c>
      <c r="G500" s="94">
        <f t="shared" si="22"/>
        <v>1.8529097824616425E-2</v>
      </c>
      <c r="J500" s="264">
        <v>164.63</v>
      </c>
      <c r="K500" s="94">
        <f t="shared" si="23"/>
        <v>-8.033070778168816E-2</v>
      </c>
    </row>
    <row r="501" spans="2:11" x14ac:dyDescent="0.25">
      <c r="B501" s="263">
        <v>45138</v>
      </c>
      <c r="C501" s="162">
        <v>4588.96</v>
      </c>
      <c r="D501" s="94">
        <f t="shared" si="21"/>
        <v>1.4687171966489831E-3</v>
      </c>
      <c r="F501" s="161">
        <v>1362.52</v>
      </c>
      <c r="G501" s="94">
        <f t="shared" si="22"/>
        <v>5.5572365847718075E-3</v>
      </c>
      <c r="J501" s="264">
        <v>168.58</v>
      </c>
      <c r="K501" s="94">
        <f t="shared" si="23"/>
        <v>2.3993196865699007E-2</v>
      </c>
    </row>
    <row r="502" spans="2:11" x14ac:dyDescent="0.25">
      <c r="B502" s="263">
        <v>45139</v>
      </c>
      <c r="C502" s="162">
        <v>4576.7299999999996</v>
      </c>
      <c r="D502" s="94">
        <f t="shared" si="21"/>
        <v>-2.6650918726683903E-3</v>
      </c>
      <c r="F502" s="161">
        <v>1346.88</v>
      </c>
      <c r="G502" s="94">
        <f t="shared" si="22"/>
        <v>-1.1478730587440866E-2</v>
      </c>
      <c r="J502" s="264">
        <v>168.42</v>
      </c>
      <c r="K502" s="94">
        <f t="shared" si="23"/>
        <v>-9.4910428283323522E-4</v>
      </c>
    </row>
    <row r="503" spans="2:11" x14ac:dyDescent="0.25">
      <c r="B503" s="263">
        <v>45140</v>
      </c>
      <c r="C503" s="162">
        <v>4513.3900000000003</v>
      </c>
      <c r="D503" s="94">
        <f t="shared" si="21"/>
        <v>-1.383957541738301E-2</v>
      </c>
      <c r="F503" s="161">
        <v>1322.05</v>
      </c>
      <c r="G503" s="94">
        <f t="shared" si="22"/>
        <v>-1.8435198384414431E-2</v>
      </c>
      <c r="J503" s="264">
        <v>167.68</v>
      </c>
      <c r="K503" s="94">
        <f t="shared" si="23"/>
        <v>-4.3937774611090274E-3</v>
      </c>
    </row>
    <row r="504" spans="2:11" x14ac:dyDescent="0.25">
      <c r="B504" s="263">
        <v>45141</v>
      </c>
      <c r="C504" s="162">
        <v>4501.8900000000003</v>
      </c>
      <c r="D504" s="94">
        <f t="shared" si="21"/>
        <v>-2.5479739176096361E-3</v>
      </c>
      <c r="F504" s="161">
        <v>1326.59</v>
      </c>
      <c r="G504" s="94">
        <f t="shared" si="22"/>
        <v>3.4340607390037636E-3</v>
      </c>
      <c r="J504" s="264">
        <v>165.53</v>
      </c>
      <c r="K504" s="94">
        <f t="shared" si="23"/>
        <v>-1.2822041984732913E-2</v>
      </c>
    </row>
    <row r="505" spans="2:11" x14ac:dyDescent="0.25">
      <c r="B505" s="263">
        <v>45142</v>
      </c>
      <c r="C505" s="162">
        <v>4478.03</v>
      </c>
      <c r="D505" s="94">
        <f t="shared" si="21"/>
        <v>-5.2999962238083898E-3</v>
      </c>
      <c r="F505" s="161">
        <v>1351.9</v>
      </c>
      <c r="G505" s="94">
        <f t="shared" si="22"/>
        <v>1.9078992002050432E-2</v>
      </c>
      <c r="J505" s="264">
        <v>165.82</v>
      </c>
      <c r="K505" s="94">
        <f t="shared" si="23"/>
        <v>1.7519482873193937E-3</v>
      </c>
    </row>
    <row r="506" spans="2:11" x14ac:dyDescent="0.25">
      <c r="B506" s="263">
        <v>45145</v>
      </c>
      <c r="C506" s="162">
        <v>4518.4399999999996</v>
      </c>
      <c r="D506" s="94">
        <f t="shared" si="21"/>
        <v>9.02405745383561E-3</v>
      </c>
      <c r="F506" s="161">
        <v>1366.76</v>
      </c>
      <c r="G506" s="94">
        <f t="shared" si="22"/>
        <v>1.0991937273466812E-2</v>
      </c>
      <c r="J506" s="264">
        <v>166.84</v>
      </c>
      <c r="K506" s="94">
        <f t="shared" si="23"/>
        <v>6.1512483415753216E-3</v>
      </c>
    </row>
    <row r="507" spans="2:11" x14ac:dyDescent="0.25">
      <c r="B507" s="263">
        <v>45146</v>
      </c>
      <c r="C507" s="162">
        <v>4499.38</v>
      </c>
      <c r="D507" s="94">
        <f t="shared" si="21"/>
        <v>-4.2182700223970526E-3</v>
      </c>
      <c r="F507" s="161">
        <v>1354.9</v>
      </c>
      <c r="G507" s="94">
        <f t="shared" si="22"/>
        <v>-8.6774561737246181E-3</v>
      </c>
      <c r="J507" s="264">
        <v>161.26</v>
      </c>
      <c r="K507" s="94">
        <f t="shared" si="23"/>
        <v>-3.344521697434677E-2</v>
      </c>
    </row>
    <row r="508" spans="2:11" x14ac:dyDescent="0.25">
      <c r="B508" s="263">
        <v>45147</v>
      </c>
      <c r="C508" s="162">
        <v>4467.71</v>
      </c>
      <c r="D508" s="94">
        <f t="shared" si="21"/>
        <v>-7.0387475607750494E-3</v>
      </c>
      <c r="F508" s="161">
        <v>1338.64</v>
      </c>
      <c r="G508" s="94">
        <f t="shared" si="22"/>
        <v>-1.200088567421953E-2</v>
      </c>
      <c r="J508" s="264">
        <v>163.05000000000001</v>
      </c>
      <c r="K508" s="94">
        <f t="shared" si="23"/>
        <v>1.1100086816321575E-2</v>
      </c>
    </row>
    <row r="509" spans="2:11" x14ac:dyDescent="0.25">
      <c r="B509" s="263">
        <v>45148</v>
      </c>
      <c r="C509" s="162">
        <v>4468.83</v>
      </c>
      <c r="D509" s="94">
        <f t="shared" si="21"/>
        <v>2.5068771249703303E-4</v>
      </c>
      <c r="F509" s="161">
        <v>1342.32</v>
      </c>
      <c r="G509" s="94">
        <f t="shared" si="22"/>
        <v>2.7490587461900251E-3</v>
      </c>
      <c r="J509" s="264">
        <v>162.26</v>
      </c>
      <c r="K509" s="94">
        <f t="shared" si="23"/>
        <v>-4.8451395277523401E-3</v>
      </c>
    </row>
    <row r="510" spans="2:11" x14ac:dyDescent="0.25">
      <c r="B510" s="263">
        <v>45149</v>
      </c>
      <c r="C510" s="162">
        <v>4464.05</v>
      </c>
      <c r="D510" s="94">
        <f t="shared" si="21"/>
        <v>-1.0696312010077813E-3</v>
      </c>
      <c r="F510" s="161">
        <v>1338.53</v>
      </c>
      <c r="G510" s="94">
        <f t="shared" si="22"/>
        <v>-2.8234698134572689E-3</v>
      </c>
      <c r="J510" s="264">
        <v>162.59</v>
      </c>
      <c r="K510" s="94">
        <f t="shared" si="23"/>
        <v>2.0337729569825935E-3</v>
      </c>
    </row>
    <row r="511" spans="2:11" x14ac:dyDescent="0.25">
      <c r="B511" s="263">
        <v>45152</v>
      </c>
      <c r="C511" s="162">
        <v>4489.72</v>
      </c>
      <c r="D511" s="94">
        <f t="shared" si="21"/>
        <v>5.7503836202552616E-3</v>
      </c>
      <c r="F511" s="161">
        <v>1343.8</v>
      </c>
      <c r="G511" s="94">
        <f t="shared" si="22"/>
        <v>3.9371549386266746E-3</v>
      </c>
      <c r="J511" s="264">
        <v>164.09</v>
      </c>
      <c r="K511" s="94">
        <f t="shared" si="23"/>
        <v>9.2256596346638187E-3</v>
      </c>
    </row>
    <row r="512" spans="2:11" x14ac:dyDescent="0.25">
      <c r="B512" s="263">
        <v>45153</v>
      </c>
      <c r="C512" s="162">
        <v>4437.8599999999997</v>
      </c>
      <c r="D512" s="94">
        <f t="shared" si="21"/>
        <v>-1.1550831677699436E-2</v>
      </c>
      <c r="F512" s="161">
        <v>1325.41</v>
      </c>
      <c r="G512" s="94">
        <f t="shared" si="22"/>
        <v>-1.3685072183360569E-2</v>
      </c>
      <c r="J512" s="264">
        <v>164.24</v>
      </c>
      <c r="K512" s="94">
        <f t="shared" si="23"/>
        <v>9.1413248826865967E-4</v>
      </c>
    </row>
    <row r="513" spans="2:11" x14ac:dyDescent="0.25">
      <c r="B513" s="263">
        <v>45154</v>
      </c>
      <c r="C513" s="162">
        <v>4404.33</v>
      </c>
      <c r="D513" s="94">
        <f t="shared" si="21"/>
        <v>-7.5554433893813E-3</v>
      </c>
      <c r="F513" s="161">
        <v>1308.55</v>
      </c>
      <c r="G513" s="94">
        <f t="shared" si="22"/>
        <v>-1.2720592118665275E-2</v>
      </c>
      <c r="J513" s="264">
        <v>162.91999999999999</v>
      </c>
      <c r="K513" s="94">
        <f t="shared" si="23"/>
        <v>-8.0370189965904837E-3</v>
      </c>
    </row>
    <row r="514" spans="2:11" x14ac:dyDescent="0.25">
      <c r="B514" s="263">
        <v>45155</v>
      </c>
      <c r="C514" s="162">
        <v>4370.3599999999997</v>
      </c>
      <c r="D514" s="94">
        <f t="shared" si="21"/>
        <v>-7.7128643857296009E-3</v>
      </c>
      <c r="F514" s="161">
        <v>1287.83</v>
      </c>
      <c r="G514" s="94">
        <f t="shared" si="22"/>
        <v>-1.5834320431011406E-2</v>
      </c>
      <c r="J514" s="264">
        <v>164.58</v>
      </c>
      <c r="K514" s="94">
        <f t="shared" si="23"/>
        <v>1.0189049840412689E-2</v>
      </c>
    </row>
    <row r="515" spans="2:11" x14ac:dyDescent="0.25">
      <c r="B515" s="263">
        <v>45156</v>
      </c>
      <c r="C515" s="162">
        <v>4369.71</v>
      </c>
      <c r="D515" s="94">
        <f t="shared" si="21"/>
        <v>-1.4872916647590273E-4</v>
      </c>
      <c r="F515" s="161">
        <v>1283.67</v>
      </c>
      <c r="G515" s="94">
        <f t="shared" si="22"/>
        <v>-3.2302400161511313E-3</v>
      </c>
      <c r="J515" s="264">
        <v>166.05</v>
      </c>
      <c r="K515" s="94">
        <f t="shared" si="23"/>
        <v>8.9318264673714509E-3</v>
      </c>
    </row>
    <row r="516" spans="2:11" x14ac:dyDescent="0.25">
      <c r="B516" s="263">
        <v>45159</v>
      </c>
      <c r="C516" s="162">
        <v>4399.7700000000004</v>
      </c>
      <c r="D516" s="94">
        <f t="shared" si="21"/>
        <v>6.8791750482297687E-3</v>
      </c>
      <c r="F516" s="161">
        <v>1298.4000000000001</v>
      </c>
      <c r="G516" s="94">
        <f t="shared" si="22"/>
        <v>1.1474911776391039E-2</v>
      </c>
      <c r="J516" s="264">
        <v>161.69999999999999</v>
      </c>
      <c r="K516" s="94">
        <f t="shared" si="23"/>
        <v>-2.6196928635953132E-2</v>
      </c>
    </row>
    <row r="517" spans="2:11" x14ac:dyDescent="0.25">
      <c r="B517" s="263">
        <v>45160</v>
      </c>
      <c r="C517" s="162">
        <v>4387.55</v>
      </c>
      <c r="D517" s="94">
        <f t="shared" si="21"/>
        <v>-2.7774179104816943E-3</v>
      </c>
      <c r="F517" s="161">
        <v>1299.58</v>
      </c>
      <c r="G517" s="94">
        <f t="shared" si="22"/>
        <v>9.0881084411575941E-4</v>
      </c>
      <c r="J517" s="264">
        <v>165.73</v>
      </c>
      <c r="K517" s="94">
        <f t="shared" si="23"/>
        <v>2.492269635126787E-2</v>
      </c>
    </row>
    <row r="518" spans="2:11" x14ac:dyDescent="0.25">
      <c r="B518" s="263">
        <v>45161</v>
      </c>
      <c r="C518" s="162">
        <v>4436.01</v>
      </c>
      <c r="D518" s="94">
        <f t="shared" si="21"/>
        <v>1.1044888377340412E-2</v>
      </c>
      <c r="F518" s="161">
        <v>1310.3699999999999</v>
      </c>
      <c r="G518" s="94">
        <f t="shared" si="22"/>
        <v>8.3026824050846937E-3</v>
      </c>
      <c r="J518" s="264">
        <v>165.3</v>
      </c>
      <c r="K518" s="94">
        <f t="shared" si="23"/>
        <v>-2.594581548301278E-3</v>
      </c>
    </row>
    <row r="519" spans="2:11" x14ac:dyDescent="0.25">
      <c r="B519" s="263">
        <v>45162</v>
      </c>
      <c r="C519" s="162">
        <v>4376.3100000000004</v>
      </c>
      <c r="D519" s="94">
        <f t="shared" si="21"/>
        <v>-1.3458039995401183E-2</v>
      </c>
      <c r="F519" s="161">
        <v>1284.07</v>
      </c>
      <c r="G519" s="94">
        <f t="shared" si="22"/>
        <v>-2.0070667063501135E-2</v>
      </c>
      <c r="J519" s="264">
        <v>164.19</v>
      </c>
      <c r="K519" s="94">
        <f t="shared" si="23"/>
        <v>-6.7150635208712561E-3</v>
      </c>
    </row>
    <row r="520" spans="2:11" x14ac:dyDescent="0.25">
      <c r="B520" s="263">
        <v>45163</v>
      </c>
      <c r="C520" s="162">
        <v>4405.71</v>
      </c>
      <c r="D520" s="94">
        <f t="shared" si="21"/>
        <v>6.7179884423178571E-3</v>
      </c>
      <c r="F520" s="161">
        <v>1298.21</v>
      </c>
      <c r="G520" s="94">
        <f t="shared" si="22"/>
        <v>1.1011860724103872E-2</v>
      </c>
      <c r="J520" s="264">
        <v>162.30000000000001</v>
      </c>
      <c r="K520" s="94">
        <f t="shared" si="23"/>
        <v>-1.1511054266398646E-2</v>
      </c>
    </row>
    <row r="521" spans="2:11" x14ac:dyDescent="0.25">
      <c r="B521" s="263">
        <v>45166</v>
      </c>
      <c r="C521" s="162">
        <v>4433.3100000000004</v>
      </c>
      <c r="D521" s="94">
        <f t="shared" ref="D521:D584" si="24">C521/C520-1</f>
        <v>6.2645975336552695E-3</v>
      </c>
      <c r="F521" s="161">
        <v>1302.98</v>
      </c>
      <c r="G521" s="94">
        <f t="shared" ref="G521:G584" si="25">F521/F520-1</f>
        <v>3.6742899839008469E-3</v>
      </c>
      <c r="J521" s="264">
        <v>162.88999999999999</v>
      </c>
      <c r="K521" s="94">
        <f t="shared" si="23"/>
        <v>3.6352433764632597E-3</v>
      </c>
    </row>
    <row r="522" spans="2:11" x14ac:dyDescent="0.25">
      <c r="B522" s="263">
        <v>45167</v>
      </c>
      <c r="C522" s="162">
        <v>4497.63</v>
      </c>
      <c r="D522" s="94">
        <f t="shared" si="24"/>
        <v>1.4508347036412905E-2</v>
      </c>
      <c r="F522" s="161">
        <v>1333.64</v>
      </c>
      <c r="G522" s="94">
        <f t="shared" si="25"/>
        <v>2.3530675835392811E-2</v>
      </c>
      <c r="J522" s="264">
        <v>163.72</v>
      </c>
      <c r="K522" s="94">
        <f t="shared" ref="K522:K585" si="26">J522/J521-1</f>
        <v>5.0954631960218322E-3</v>
      </c>
    </row>
    <row r="523" spans="2:11" x14ac:dyDescent="0.25">
      <c r="B523" s="263">
        <v>45168</v>
      </c>
      <c r="C523" s="162">
        <v>4514.87</v>
      </c>
      <c r="D523" s="94">
        <f t="shared" si="24"/>
        <v>3.8331298928546698E-3</v>
      </c>
      <c r="F523" s="161">
        <v>1338.04</v>
      </c>
      <c r="G523" s="94">
        <f t="shared" si="25"/>
        <v>3.2992411745298433E-3</v>
      </c>
      <c r="J523" s="264">
        <v>162.97</v>
      </c>
      <c r="K523" s="94">
        <f t="shared" si="26"/>
        <v>-4.5809919374542041E-3</v>
      </c>
    </row>
    <row r="524" spans="2:11" x14ac:dyDescent="0.25">
      <c r="B524" s="263">
        <v>45169</v>
      </c>
      <c r="C524" s="162">
        <v>4507.66</v>
      </c>
      <c r="D524" s="94">
        <f t="shared" si="24"/>
        <v>-1.5969452055097921E-3</v>
      </c>
      <c r="F524" s="161">
        <v>1344.81</v>
      </c>
      <c r="G524" s="94">
        <f t="shared" si="25"/>
        <v>5.0596394726614147E-3</v>
      </c>
      <c r="J524" s="264">
        <v>160.63999999999999</v>
      </c>
      <c r="K524" s="94">
        <f t="shared" si="26"/>
        <v>-1.4297109897527194E-2</v>
      </c>
    </row>
    <row r="525" spans="2:11" x14ac:dyDescent="0.25">
      <c r="B525" s="263">
        <v>45170</v>
      </c>
      <c r="C525" s="162">
        <v>4515.7700000000004</v>
      </c>
      <c r="D525" s="94">
        <f t="shared" si="24"/>
        <v>1.7991596526802933E-3</v>
      </c>
      <c r="F525" s="161">
        <v>1337.52</v>
      </c>
      <c r="G525" s="94">
        <f t="shared" si="25"/>
        <v>-5.4208401186784938E-3</v>
      </c>
      <c r="J525" s="264">
        <v>158.77000000000001</v>
      </c>
      <c r="K525" s="94">
        <f t="shared" si="26"/>
        <v>-1.1640936254979972E-2</v>
      </c>
    </row>
    <row r="526" spans="2:11" x14ac:dyDescent="0.25">
      <c r="B526" s="263">
        <v>45174</v>
      </c>
      <c r="C526" s="162">
        <v>4496.83</v>
      </c>
      <c r="D526" s="94">
        <f t="shared" si="24"/>
        <v>-4.1941905810084501E-3</v>
      </c>
      <c r="F526" s="161">
        <v>1336.36</v>
      </c>
      <c r="G526" s="94">
        <f t="shared" si="25"/>
        <v>-8.6727675100195523E-4</v>
      </c>
      <c r="J526" s="264">
        <v>151.19999999999999</v>
      </c>
      <c r="K526" s="94">
        <f t="shared" si="26"/>
        <v>-4.7679032562826906E-2</v>
      </c>
    </row>
    <row r="527" spans="2:11" x14ac:dyDescent="0.25">
      <c r="B527" s="263">
        <v>45175</v>
      </c>
      <c r="C527" s="162">
        <v>4465.4799999999996</v>
      </c>
      <c r="D527" s="94">
        <f t="shared" si="24"/>
        <v>-6.9715777558858605E-3</v>
      </c>
      <c r="F527" s="161">
        <v>1323.38</v>
      </c>
      <c r="G527" s="94">
        <f t="shared" si="25"/>
        <v>-9.7129515998681804E-3</v>
      </c>
      <c r="J527" s="264">
        <v>154.43</v>
      </c>
      <c r="K527" s="94">
        <f t="shared" si="26"/>
        <v>2.1362433862434083E-2</v>
      </c>
    </row>
    <row r="528" spans="2:11" x14ac:dyDescent="0.25">
      <c r="B528" s="263">
        <v>45176</v>
      </c>
      <c r="C528" s="162">
        <v>4451.1400000000003</v>
      </c>
      <c r="D528" s="94">
        <f t="shared" si="24"/>
        <v>-3.2113009127796577E-3</v>
      </c>
      <c r="F528" s="161">
        <v>1330.02</v>
      </c>
      <c r="G528" s="94">
        <f t="shared" si="25"/>
        <v>5.0174553038431213E-3</v>
      </c>
      <c r="J528" s="264">
        <v>161.66</v>
      </c>
      <c r="K528" s="94">
        <f t="shared" si="26"/>
        <v>4.6817328239331601E-2</v>
      </c>
    </row>
    <row r="529" spans="2:11" x14ac:dyDescent="0.25">
      <c r="B529" s="263">
        <v>45177</v>
      </c>
      <c r="C529" s="162">
        <v>4457.49</v>
      </c>
      <c r="D529" s="94">
        <f t="shared" si="24"/>
        <v>1.4266008258556617E-3</v>
      </c>
      <c r="F529" s="161">
        <v>1330.46</v>
      </c>
      <c r="G529" s="94">
        <f t="shared" si="25"/>
        <v>3.3082209290080655E-4</v>
      </c>
      <c r="J529" s="264">
        <v>160.44999999999999</v>
      </c>
      <c r="K529" s="94">
        <f t="shared" si="26"/>
        <v>-7.4848447358654147E-3</v>
      </c>
    </row>
    <row r="530" spans="2:11" x14ac:dyDescent="0.25">
      <c r="B530" s="263">
        <v>45180</v>
      </c>
      <c r="C530" s="162">
        <v>4487.46</v>
      </c>
      <c r="D530" s="94">
        <f t="shared" si="24"/>
        <v>6.7235148031741243E-3</v>
      </c>
      <c r="F530" s="161">
        <v>1367.31</v>
      </c>
      <c r="G530" s="94">
        <f t="shared" si="25"/>
        <v>2.7697187438930904E-2</v>
      </c>
      <c r="J530" s="264">
        <v>165.67</v>
      </c>
      <c r="K530" s="94">
        <f t="shared" si="26"/>
        <v>3.2533499532564569E-2</v>
      </c>
    </row>
    <row r="531" spans="2:11" x14ac:dyDescent="0.25">
      <c r="B531" s="263">
        <v>45181</v>
      </c>
      <c r="C531" s="162">
        <v>4461.8999999999996</v>
      </c>
      <c r="D531" s="94">
        <f t="shared" si="24"/>
        <v>-5.6958724980279429E-3</v>
      </c>
      <c r="F531" s="161">
        <v>1355.07</v>
      </c>
      <c r="G531" s="94">
        <f t="shared" si="25"/>
        <v>-8.9518836255129131E-3</v>
      </c>
      <c r="J531" s="264">
        <v>165.3</v>
      </c>
      <c r="K531" s="94">
        <f t="shared" si="26"/>
        <v>-2.2333554656847054E-3</v>
      </c>
    </row>
    <row r="532" spans="2:11" x14ac:dyDescent="0.25">
      <c r="B532" s="263">
        <v>45182</v>
      </c>
      <c r="C532" s="162">
        <v>4467.4399999999996</v>
      </c>
      <c r="D532" s="94">
        <f t="shared" si="24"/>
        <v>1.2416235236110129E-3</v>
      </c>
      <c r="F532" s="161">
        <v>1367.22</v>
      </c>
      <c r="G532" s="94">
        <f t="shared" si="25"/>
        <v>8.9663264628396799E-3</v>
      </c>
      <c r="J532" s="264">
        <v>168.76</v>
      </c>
      <c r="K532" s="94">
        <f t="shared" si="26"/>
        <v>2.0931639443436012E-2</v>
      </c>
    </row>
    <row r="533" spans="2:11" x14ac:dyDescent="0.25">
      <c r="B533" s="263">
        <v>45183</v>
      </c>
      <c r="C533" s="162">
        <v>4505.1000000000004</v>
      </c>
      <c r="D533" s="94">
        <f t="shared" si="24"/>
        <v>8.4298837813157057E-3</v>
      </c>
      <c r="F533" s="161">
        <v>1379.21</v>
      </c>
      <c r="G533" s="94">
        <f t="shared" si="25"/>
        <v>8.7696201050306843E-3</v>
      </c>
      <c r="J533" s="264">
        <v>172.18</v>
      </c>
      <c r="K533" s="94">
        <f t="shared" si="26"/>
        <v>2.0265465750177958E-2</v>
      </c>
    </row>
    <row r="534" spans="2:11" x14ac:dyDescent="0.25">
      <c r="B534" s="263">
        <v>45184</v>
      </c>
      <c r="C534" s="162">
        <v>4450.32</v>
      </c>
      <c r="D534" s="94">
        <f t="shared" si="24"/>
        <v>-1.2159552507158722E-2</v>
      </c>
      <c r="F534" s="161">
        <v>1353.31</v>
      </c>
      <c r="G534" s="94">
        <f t="shared" si="25"/>
        <v>-1.8778866162513341E-2</v>
      </c>
      <c r="J534" s="264">
        <v>170.36</v>
      </c>
      <c r="K534" s="94">
        <f t="shared" si="26"/>
        <v>-1.0570333372052487E-2</v>
      </c>
    </row>
    <row r="535" spans="2:11" x14ac:dyDescent="0.25">
      <c r="B535" s="263">
        <v>45187</v>
      </c>
      <c r="C535" s="162">
        <v>4453.53</v>
      </c>
      <c r="D535" s="94">
        <f t="shared" si="24"/>
        <v>7.2129644609830734E-4</v>
      </c>
      <c r="F535" s="161">
        <v>1339.68</v>
      </c>
      <c r="G535" s="94">
        <f t="shared" si="25"/>
        <v>-1.007160221974257E-2</v>
      </c>
      <c r="J535" s="264">
        <v>173.96</v>
      </c>
      <c r="K535" s="94">
        <f t="shared" si="26"/>
        <v>2.1131721061282027E-2</v>
      </c>
    </row>
    <row r="536" spans="2:11" x14ac:dyDescent="0.25">
      <c r="B536" s="263">
        <v>45188</v>
      </c>
      <c r="C536" s="162">
        <v>4443.95</v>
      </c>
      <c r="D536" s="94">
        <f t="shared" si="24"/>
        <v>-2.1511026084926055E-3</v>
      </c>
      <c r="F536" s="161">
        <v>1331.01</v>
      </c>
      <c r="G536" s="94">
        <f t="shared" si="25"/>
        <v>-6.471694733070632E-3</v>
      </c>
      <c r="J536" s="264">
        <v>173.74</v>
      </c>
      <c r="K536" s="94">
        <f t="shared" si="26"/>
        <v>-1.2646585421935974E-3</v>
      </c>
    </row>
    <row r="537" spans="2:11" x14ac:dyDescent="0.25">
      <c r="B537" s="263">
        <v>45189</v>
      </c>
      <c r="C537" s="162">
        <v>4402.2</v>
      </c>
      <c r="D537" s="94">
        <f t="shared" si="24"/>
        <v>-9.3947951709627553E-3</v>
      </c>
      <c r="F537" s="161">
        <v>1316.47</v>
      </c>
      <c r="G537" s="94">
        <f t="shared" si="25"/>
        <v>-1.0924035131216092E-2</v>
      </c>
      <c r="J537" s="264">
        <v>175.46</v>
      </c>
      <c r="K537" s="94">
        <f t="shared" si="26"/>
        <v>9.8998503510994151E-3</v>
      </c>
    </row>
    <row r="538" spans="2:11" x14ac:dyDescent="0.25">
      <c r="B538" s="263">
        <v>45190</v>
      </c>
      <c r="C538" s="162">
        <v>4330</v>
      </c>
      <c r="D538" s="94">
        <f t="shared" si="24"/>
        <v>-1.6400890463858953E-2</v>
      </c>
      <c r="F538" s="161">
        <v>1278.57</v>
      </c>
      <c r="G538" s="94">
        <f t="shared" si="25"/>
        <v>-2.8789110272167351E-2</v>
      </c>
      <c r="J538" s="264">
        <v>168.21</v>
      </c>
      <c r="K538" s="94">
        <f t="shared" si="26"/>
        <v>-4.1319958965006287E-2</v>
      </c>
    </row>
    <row r="539" spans="2:11" x14ac:dyDescent="0.25">
      <c r="B539" s="263">
        <v>45191</v>
      </c>
      <c r="C539" s="162">
        <v>4320.0600000000004</v>
      </c>
      <c r="D539" s="94">
        <f t="shared" si="24"/>
        <v>-2.2956120092377796E-3</v>
      </c>
      <c r="F539" s="161">
        <v>1267.4000000000001</v>
      </c>
      <c r="G539" s="94">
        <f t="shared" si="25"/>
        <v>-8.7363226104162361E-3</v>
      </c>
      <c r="J539" s="264">
        <v>169.36</v>
      </c>
      <c r="K539" s="94">
        <f t="shared" si="26"/>
        <v>6.8366922299507582E-3</v>
      </c>
    </row>
    <row r="540" spans="2:11" x14ac:dyDescent="0.25">
      <c r="B540" s="263">
        <v>45194</v>
      </c>
      <c r="C540" s="162">
        <v>4337.4399999999996</v>
      </c>
      <c r="D540" s="94">
        <f t="shared" si="24"/>
        <v>4.0230922718664797E-3</v>
      </c>
      <c r="F540" s="161">
        <v>1275.8399999999999</v>
      </c>
      <c r="G540" s="94">
        <f t="shared" si="25"/>
        <v>6.6593025090735392E-3</v>
      </c>
      <c r="J540" s="264">
        <v>173.52</v>
      </c>
      <c r="K540" s="94">
        <f t="shared" si="26"/>
        <v>2.4563060935285819E-2</v>
      </c>
    </row>
    <row r="541" spans="2:11" x14ac:dyDescent="0.25">
      <c r="B541" s="263">
        <v>45195</v>
      </c>
      <c r="C541" s="162">
        <v>4273.53</v>
      </c>
      <c r="D541" s="94">
        <f t="shared" si="24"/>
        <v>-1.473449776826885E-2</v>
      </c>
      <c r="F541" s="161">
        <v>1249.98</v>
      </c>
      <c r="G541" s="94">
        <f t="shared" si="25"/>
        <v>-2.0268999247554431E-2</v>
      </c>
      <c r="J541" s="264">
        <v>176.79</v>
      </c>
      <c r="K541" s="94">
        <f t="shared" si="26"/>
        <v>1.8845089903181123E-2</v>
      </c>
    </row>
    <row r="542" spans="2:11" x14ac:dyDescent="0.25">
      <c r="B542" s="263">
        <v>45196</v>
      </c>
      <c r="C542" s="162">
        <v>4274.51</v>
      </c>
      <c r="D542" s="94">
        <f t="shared" si="24"/>
        <v>2.2931861950192811E-4</v>
      </c>
      <c r="F542" s="161">
        <v>1245.24</v>
      </c>
      <c r="G542" s="94">
        <f t="shared" si="25"/>
        <v>-3.7920606729707762E-3</v>
      </c>
      <c r="J542" s="264">
        <v>178.88</v>
      </c>
      <c r="K542" s="94">
        <f t="shared" si="26"/>
        <v>1.1821935629843239E-2</v>
      </c>
    </row>
    <row r="543" spans="2:11" x14ac:dyDescent="0.25">
      <c r="B543" s="263">
        <v>45197</v>
      </c>
      <c r="C543" s="162">
        <v>4299.7</v>
      </c>
      <c r="D543" s="94">
        <f t="shared" si="24"/>
        <v>5.8930731241708667E-3</v>
      </c>
      <c r="F543" s="161">
        <v>1257.3</v>
      </c>
      <c r="G543" s="94">
        <f t="shared" si="25"/>
        <v>9.6848800231279508E-3</v>
      </c>
      <c r="J543" s="264">
        <v>181.29</v>
      </c>
      <c r="K543" s="94">
        <f t="shared" si="26"/>
        <v>1.3472719141323752E-2</v>
      </c>
    </row>
    <row r="544" spans="2:11" x14ac:dyDescent="0.25">
      <c r="B544" s="263">
        <v>45198</v>
      </c>
      <c r="C544" s="162">
        <v>4288.05</v>
      </c>
      <c r="D544" s="94">
        <f t="shared" si="24"/>
        <v>-2.7094913598622039E-3</v>
      </c>
      <c r="F544" s="161">
        <v>1264</v>
      </c>
      <c r="G544" s="94">
        <f t="shared" si="25"/>
        <v>5.3288793446273353E-3</v>
      </c>
      <c r="J544" s="264">
        <v>179.84</v>
      </c>
      <c r="K544" s="94">
        <f t="shared" si="26"/>
        <v>-7.9982348723039998E-3</v>
      </c>
    </row>
    <row r="545" spans="2:11" x14ac:dyDescent="0.25">
      <c r="B545" s="263">
        <v>45201</v>
      </c>
      <c r="C545" s="162">
        <v>4288.3900000000003</v>
      </c>
      <c r="D545" s="94">
        <f t="shared" si="24"/>
        <v>7.9290120217789806E-5</v>
      </c>
      <c r="F545" s="161">
        <v>1267.5999999999999</v>
      </c>
      <c r="G545" s="94">
        <f t="shared" si="25"/>
        <v>2.8481012658228E-3</v>
      </c>
      <c r="J545" s="264">
        <v>184.31</v>
      </c>
      <c r="K545" s="94">
        <f t="shared" si="26"/>
        <v>2.4855427046263312E-2</v>
      </c>
    </row>
    <row r="546" spans="2:11" x14ac:dyDescent="0.25">
      <c r="B546" s="263">
        <v>45202</v>
      </c>
      <c r="C546" s="162">
        <v>4229.45</v>
      </c>
      <c r="D546" s="94">
        <f t="shared" si="24"/>
        <v>-1.374408577578079E-2</v>
      </c>
      <c r="F546" s="161">
        <v>1234.72</v>
      </c>
      <c r="G546" s="94">
        <f t="shared" si="25"/>
        <v>-2.5938781950141876E-2</v>
      </c>
      <c r="J546" s="264">
        <v>177.02</v>
      </c>
      <c r="K546" s="94">
        <f t="shared" si="26"/>
        <v>-3.9552927133633453E-2</v>
      </c>
    </row>
    <row r="547" spans="2:11" x14ac:dyDescent="0.25">
      <c r="B547" s="263">
        <v>45203</v>
      </c>
      <c r="C547" s="162">
        <v>4263.75</v>
      </c>
      <c r="D547" s="94">
        <f t="shared" si="24"/>
        <v>8.1098015108347354E-3</v>
      </c>
      <c r="F547" s="161">
        <v>1259.0999999999999</v>
      </c>
      <c r="G547" s="94">
        <f t="shared" si="25"/>
        <v>1.974536737073973E-2</v>
      </c>
      <c r="J547" s="264">
        <v>184.62</v>
      </c>
      <c r="K547" s="94">
        <f t="shared" si="26"/>
        <v>4.2933001920686831E-2</v>
      </c>
    </row>
    <row r="548" spans="2:11" x14ac:dyDescent="0.25">
      <c r="B548" s="263">
        <v>45204</v>
      </c>
      <c r="C548" s="162">
        <v>4258.1899999999996</v>
      </c>
      <c r="D548" s="94">
        <f t="shared" si="24"/>
        <v>-1.3040164174730196E-3</v>
      </c>
      <c r="F548" s="161">
        <v>1251.95</v>
      </c>
      <c r="G548" s="94">
        <f t="shared" si="25"/>
        <v>-5.6786593598601165E-3</v>
      </c>
      <c r="J548" s="264">
        <v>182.88</v>
      </c>
      <c r="K548" s="94">
        <f t="shared" si="26"/>
        <v>-9.4247643808905712E-3</v>
      </c>
    </row>
    <row r="549" spans="2:11" x14ac:dyDescent="0.25">
      <c r="B549" s="263">
        <v>45205</v>
      </c>
      <c r="C549" s="162">
        <v>4308.5</v>
      </c>
      <c r="D549" s="94">
        <f t="shared" si="24"/>
        <v>1.1814879091820885E-2</v>
      </c>
      <c r="F549" s="161">
        <v>1260.72</v>
      </c>
      <c r="G549" s="94">
        <f t="shared" si="25"/>
        <v>7.005072087543418E-3</v>
      </c>
      <c r="J549" s="264">
        <v>174.04</v>
      </c>
      <c r="K549" s="94">
        <f t="shared" si="26"/>
        <v>-4.8337707786526685E-2</v>
      </c>
    </row>
    <row r="550" spans="2:11" x14ac:dyDescent="0.25">
      <c r="B550" s="263">
        <v>45208</v>
      </c>
      <c r="C550" s="162">
        <v>4335.66</v>
      </c>
      <c r="D550" s="94">
        <f t="shared" si="24"/>
        <v>6.3038180341186134E-3</v>
      </c>
      <c r="F550" s="161">
        <v>1262.98</v>
      </c>
      <c r="G550" s="94">
        <f t="shared" si="25"/>
        <v>1.792626435687561E-3</v>
      </c>
      <c r="J550" s="264">
        <v>175.73</v>
      </c>
      <c r="K550" s="94">
        <f t="shared" si="26"/>
        <v>9.7104113996782093E-3</v>
      </c>
    </row>
    <row r="551" spans="2:11" x14ac:dyDescent="0.25">
      <c r="B551" s="263">
        <v>45209</v>
      </c>
      <c r="C551" s="162">
        <v>4358.24</v>
      </c>
      <c r="D551" s="94">
        <f t="shared" si="24"/>
        <v>5.2079729499083793E-3</v>
      </c>
      <c r="F551" s="161">
        <v>1276.75</v>
      </c>
      <c r="G551" s="94">
        <f t="shared" si="25"/>
        <v>1.090278547562118E-2</v>
      </c>
      <c r="J551" s="264">
        <v>181.34</v>
      </c>
      <c r="K551" s="94">
        <f t="shared" si="26"/>
        <v>3.1923974278723177E-2</v>
      </c>
    </row>
    <row r="552" spans="2:11" x14ac:dyDescent="0.25">
      <c r="B552" s="263">
        <v>45210</v>
      </c>
      <c r="C552" s="162">
        <v>4376.95</v>
      </c>
      <c r="D552" s="94">
        <f t="shared" si="24"/>
        <v>4.2930173648079162E-3</v>
      </c>
      <c r="F552" s="161">
        <v>1282.9000000000001</v>
      </c>
      <c r="G552" s="94">
        <f t="shared" si="25"/>
        <v>4.8169179557471242E-3</v>
      </c>
      <c r="J552" s="264">
        <v>181.63</v>
      </c>
      <c r="K552" s="94">
        <f t="shared" si="26"/>
        <v>1.5992059115472745E-3</v>
      </c>
    </row>
    <row r="553" spans="2:11" x14ac:dyDescent="0.25">
      <c r="B553" s="263">
        <v>45211</v>
      </c>
      <c r="C553" s="162">
        <v>4349.6099999999997</v>
      </c>
      <c r="D553" s="94">
        <f t="shared" si="24"/>
        <v>-6.2463587658072584E-3</v>
      </c>
      <c r="F553" s="161">
        <v>1270.6600000000001</v>
      </c>
      <c r="G553" s="94">
        <f t="shared" si="25"/>
        <v>-9.5408839348350982E-3</v>
      </c>
      <c r="J553" s="264">
        <v>174.85</v>
      </c>
      <c r="K553" s="94">
        <f t="shared" si="26"/>
        <v>-3.7328635137367172E-2</v>
      </c>
    </row>
    <row r="554" spans="2:11" x14ac:dyDescent="0.25">
      <c r="B554" s="263">
        <v>45212</v>
      </c>
      <c r="C554" s="162">
        <v>4327.78</v>
      </c>
      <c r="D554" s="94">
        <f t="shared" si="24"/>
        <v>-5.0188407696322157E-3</v>
      </c>
      <c r="F554" s="161">
        <v>1252.1600000000001</v>
      </c>
      <c r="G554" s="94">
        <f t="shared" si="25"/>
        <v>-1.4559362850801949E-2</v>
      </c>
      <c r="J554" s="264">
        <v>175.35</v>
      </c>
      <c r="K554" s="94">
        <f t="shared" si="26"/>
        <v>2.859593937660776E-3</v>
      </c>
    </row>
    <row r="555" spans="2:11" x14ac:dyDescent="0.25">
      <c r="B555" s="263">
        <v>45215</v>
      </c>
      <c r="C555" s="162">
        <v>4373.63</v>
      </c>
      <c r="D555" s="94">
        <f t="shared" si="24"/>
        <v>1.0594346293018697E-2</v>
      </c>
      <c r="F555" s="161">
        <v>1272.81</v>
      </c>
      <c r="G555" s="94">
        <f t="shared" si="25"/>
        <v>1.6491502683362969E-2</v>
      </c>
      <c r="J555" s="264">
        <v>180.82</v>
      </c>
      <c r="K555" s="94">
        <f t="shared" si="26"/>
        <v>3.1194753350441973E-2</v>
      </c>
    </row>
    <row r="556" spans="2:11" x14ac:dyDescent="0.25">
      <c r="B556" s="263">
        <v>45216</v>
      </c>
      <c r="C556" s="162">
        <v>4373.2</v>
      </c>
      <c r="D556" s="94">
        <f t="shared" si="24"/>
        <v>-9.831650139591197E-5</v>
      </c>
      <c r="F556" s="161">
        <v>1273.5899999999999</v>
      </c>
      <c r="G556" s="94">
        <f t="shared" si="25"/>
        <v>6.1281730973195003E-4</v>
      </c>
      <c r="J556" s="264">
        <v>184.51</v>
      </c>
      <c r="K556" s="94">
        <f t="shared" si="26"/>
        <v>2.0407034620064213E-2</v>
      </c>
    </row>
    <row r="557" spans="2:11" x14ac:dyDescent="0.25">
      <c r="B557" s="263">
        <v>45217</v>
      </c>
      <c r="C557" s="162">
        <v>4314.6000000000004</v>
      </c>
      <c r="D557" s="94">
        <f t="shared" si="24"/>
        <v>-1.3399798774352711E-2</v>
      </c>
      <c r="F557" s="161">
        <v>1243.93</v>
      </c>
      <c r="G557" s="94">
        <f t="shared" si="25"/>
        <v>-2.3288499438594679E-2</v>
      </c>
      <c r="J557" s="264">
        <v>182.49</v>
      </c>
      <c r="K557" s="94">
        <f t="shared" si="26"/>
        <v>-1.0947916102108213E-2</v>
      </c>
    </row>
    <row r="558" spans="2:11" x14ac:dyDescent="0.25">
      <c r="B558" s="263">
        <v>45218</v>
      </c>
      <c r="C558" s="162">
        <v>4278</v>
      </c>
      <c r="D558" s="94">
        <f t="shared" si="24"/>
        <v>-8.4828257544152796E-3</v>
      </c>
      <c r="F558" s="161">
        <v>1216.55</v>
      </c>
      <c r="G558" s="94">
        <f t="shared" si="25"/>
        <v>-2.2010884856864976E-2</v>
      </c>
      <c r="J558" s="264">
        <v>181.5</v>
      </c>
      <c r="K558" s="94">
        <f t="shared" si="26"/>
        <v>-5.4249547920434127E-3</v>
      </c>
    </row>
    <row r="559" spans="2:11" x14ac:dyDescent="0.25">
      <c r="B559" s="263">
        <v>45219</v>
      </c>
      <c r="C559" s="162">
        <v>4224.16</v>
      </c>
      <c r="D559" s="94">
        <f t="shared" si="24"/>
        <v>-1.2585320243104325E-2</v>
      </c>
      <c r="F559" s="161">
        <v>1196.3900000000001</v>
      </c>
      <c r="G559" s="94">
        <f t="shared" si="25"/>
        <v>-1.6571452057046465E-2</v>
      </c>
      <c r="J559" s="264">
        <v>179.33</v>
      </c>
      <c r="K559" s="94">
        <f t="shared" si="26"/>
        <v>-1.195592286501368E-2</v>
      </c>
    </row>
    <row r="560" spans="2:11" x14ac:dyDescent="0.25">
      <c r="B560" s="263">
        <v>45222</v>
      </c>
      <c r="C560" s="162">
        <v>4217.04</v>
      </c>
      <c r="D560" s="94">
        <f t="shared" si="24"/>
        <v>-1.685542214310054E-3</v>
      </c>
      <c r="F560" s="161">
        <v>1198.95</v>
      </c>
      <c r="G560" s="94">
        <f t="shared" si="25"/>
        <v>2.1397704761825231E-3</v>
      </c>
      <c r="J560" s="264">
        <v>177.87</v>
      </c>
      <c r="K560" s="94">
        <f t="shared" si="26"/>
        <v>-8.1414152679418761E-3</v>
      </c>
    </row>
    <row r="561" spans="2:11" x14ac:dyDescent="0.25">
      <c r="B561" s="263">
        <v>45223</v>
      </c>
      <c r="C561" s="162">
        <v>4247.68</v>
      </c>
      <c r="D561" s="94">
        <f t="shared" si="24"/>
        <v>7.2657598694820802E-3</v>
      </c>
      <c r="F561" s="161">
        <v>1211.3900000000001</v>
      </c>
      <c r="G561" s="94">
        <f t="shared" si="25"/>
        <v>1.0375745443930162E-2</v>
      </c>
      <c r="J561" s="264">
        <v>179.91</v>
      </c>
      <c r="K561" s="94">
        <f t="shared" si="26"/>
        <v>1.1469050430089389E-2</v>
      </c>
    </row>
    <row r="562" spans="2:11" x14ac:dyDescent="0.25">
      <c r="B562" s="263">
        <v>45224</v>
      </c>
      <c r="C562" s="162">
        <v>4186.7700000000004</v>
      </c>
      <c r="D562" s="94">
        <f t="shared" si="24"/>
        <v>-1.4339592436341642E-2</v>
      </c>
      <c r="F562" s="161">
        <v>1182.29</v>
      </c>
      <c r="G562" s="94">
        <f t="shared" si="25"/>
        <v>-2.4021991266231502E-2</v>
      </c>
      <c r="J562" s="264">
        <v>175.95</v>
      </c>
      <c r="K562" s="94">
        <f t="shared" si="26"/>
        <v>-2.2011005502751368E-2</v>
      </c>
    </row>
    <row r="563" spans="2:11" x14ac:dyDescent="0.25">
      <c r="B563" s="263">
        <v>45225</v>
      </c>
      <c r="C563" s="162">
        <v>4137.2299999999996</v>
      </c>
      <c r="D563" s="94">
        <f t="shared" si="24"/>
        <v>-1.183251050332379E-2</v>
      </c>
      <c r="F563" s="161">
        <v>1163.81</v>
      </c>
      <c r="G563" s="94">
        <f t="shared" si="25"/>
        <v>-1.5630682827394327E-2</v>
      </c>
      <c r="J563" s="264">
        <v>174.07</v>
      </c>
      <c r="K563" s="94">
        <f t="shared" si="26"/>
        <v>-1.0684853651605541E-2</v>
      </c>
    </row>
    <row r="564" spans="2:11" x14ac:dyDescent="0.25">
      <c r="B564" s="263">
        <v>45226</v>
      </c>
      <c r="C564" s="162">
        <v>4117.37</v>
      </c>
      <c r="D564" s="94">
        <f t="shared" si="24"/>
        <v>-4.8003132530701764E-3</v>
      </c>
      <c r="F564" s="161">
        <v>1183.57</v>
      </c>
      <c r="G564" s="94">
        <f t="shared" si="25"/>
        <v>1.6978716457153542E-2</v>
      </c>
      <c r="J564" s="264">
        <v>178.06</v>
      </c>
      <c r="K564" s="94">
        <f t="shared" si="26"/>
        <v>2.2921813063710106E-2</v>
      </c>
    </row>
    <row r="565" spans="2:11" x14ac:dyDescent="0.25">
      <c r="B565" s="263">
        <v>45229</v>
      </c>
      <c r="C565" s="162">
        <v>4166.82</v>
      </c>
      <c r="D565" s="94">
        <f t="shared" si="24"/>
        <v>1.2010093822027113E-2</v>
      </c>
      <c r="F565" s="161">
        <v>1198.53</v>
      </c>
      <c r="G565" s="94">
        <f t="shared" si="25"/>
        <v>1.2639725576011562E-2</v>
      </c>
      <c r="J565" s="264">
        <v>178.57</v>
      </c>
      <c r="K565" s="94">
        <f t="shared" si="26"/>
        <v>2.864203077614258E-3</v>
      </c>
    </row>
    <row r="566" spans="2:11" x14ac:dyDescent="0.25">
      <c r="B566" s="263">
        <v>45230</v>
      </c>
      <c r="C566" s="162">
        <v>4193.8</v>
      </c>
      <c r="D566" s="94">
        <f t="shared" si="24"/>
        <v>6.4749617214088229E-3</v>
      </c>
      <c r="F566" s="161">
        <v>1207.03</v>
      </c>
      <c r="G566" s="94">
        <f t="shared" si="25"/>
        <v>7.0920210591307598E-3</v>
      </c>
      <c r="J566" s="264">
        <v>182.77</v>
      </c>
      <c r="K566" s="94">
        <f t="shared" si="26"/>
        <v>2.3520188161505473E-2</v>
      </c>
    </row>
    <row r="567" spans="2:11" x14ac:dyDescent="0.25">
      <c r="B567" s="263">
        <v>45231</v>
      </c>
      <c r="C567" s="162">
        <v>4237.8599999999997</v>
      </c>
      <c r="D567" s="94">
        <f t="shared" si="24"/>
        <v>1.0505985025513809E-2</v>
      </c>
      <c r="F567" s="161">
        <v>1224.3499999999999</v>
      </c>
      <c r="G567" s="94">
        <f t="shared" si="25"/>
        <v>1.4349270523516422E-2</v>
      </c>
      <c r="J567" s="264">
        <v>196.5</v>
      </c>
      <c r="K567" s="94">
        <f t="shared" si="26"/>
        <v>7.5121737703124136E-2</v>
      </c>
    </row>
    <row r="568" spans="2:11" x14ac:dyDescent="0.25">
      <c r="B568" s="263">
        <v>45232</v>
      </c>
      <c r="C568" s="162">
        <v>4317.78</v>
      </c>
      <c r="D568" s="94">
        <f t="shared" si="24"/>
        <v>1.8858574846738696E-2</v>
      </c>
      <c r="F568" s="161">
        <v>1253.7</v>
      </c>
      <c r="G568" s="94">
        <f t="shared" si="25"/>
        <v>2.3971903458978261E-2</v>
      </c>
      <c r="J568" s="264">
        <v>198.72</v>
      </c>
      <c r="K568" s="94">
        <f t="shared" si="26"/>
        <v>1.129770992366419E-2</v>
      </c>
    </row>
    <row r="569" spans="2:11" x14ac:dyDescent="0.25">
      <c r="B569" s="263">
        <v>45233</v>
      </c>
      <c r="C569" s="162">
        <v>4358.34</v>
      </c>
      <c r="D569" s="94">
        <f t="shared" si="24"/>
        <v>9.3937162152772924E-3</v>
      </c>
      <c r="F569" s="161">
        <v>1268.8599999999999</v>
      </c>
      <c r="G569" s="94">
        <f t="shared" si="25"/>
        <v>1.2092207067081251E-2</v>
      </c>
      <c r="J569" s="264">
        <v>206.84</v>
      </c>
      <c r="K569" s="94">
        <f t="shared" si="26"/>
        <v>4.0861513687600715E-2</v>
      </c>
    </row>
    <row r="570" spans="2:11" x14ac:dyDescent="0.25">
      <c r="B570" s="263">
        <v>45236</v>
      </c>
      <c r="C570" s="162">
        <v>4365.9799999999996</v>
      </c>
      <c r="D570" s="94">
        <f t="shared" si="24"/>
        <v>1.7529609897344312E-3</v>
      </c>
      <c r="F570" s="161">
        <v>1271.2</v>
      </c>
      <c r="G570" s="94">
        <f t="shared" si="25"/>
        <v>1.8441750862980832E-3</v>
      </c>
      <c r="J570" s="264">
        <v>206.62</v>
      </c>
      <c r="K570" s="94">
        <f t="shared" si="26"/>
        <v>-1.0636240572423628E-3</v>
      </c>
    </row>
    <row r="571" spans="2:11" x14ac:dyDescent="0.25">
      <c r="B571" s="263">
        <v>45237</v>
      </c>
      <c r="C571" s="162">
        <v>4378.38</v>
      </c>
      <c r="D571" s="94">
        <f t="shared" si="24"/>
        <v>2.8401412741241305E-3</v>
      </c>
      <c r="F571" s="161">
        <v>1286.3</v>
      </c>
      <c r="G571" s="94">
        <f t="shared" si="25"/>
        <v>1.1878539962240309E-2</v>
      </c>
      <c r="J571" s="264">
        <v>207.18</v>
      </c>
      <c r="K571" s="94">
        <f t="shared" si="26"/>
        <v>2.7102894201915806E-3</v>
      </c>
    </row>
    <row r="572" spans="2:11" x14ac:dyDescent="0.25">
      <c r="B572" s="263">
        <v>45238</v>
      </c>
      <c r="C572" s="162">
        <v>4382.78</v>
      </c>
      <c r="D572" s="94">
        <f t="shared" si="24"/>
        <v>1.0049378994057001E-3</v>
      </c>
      <c r="F572" s="161">
        <v>1283.04</v>
      </c>
      <c r="G572" s="94">
        <f t="shared" si="25"/>
        <v>-2.5344009951022706E-3</v>
      </c>
      <c r="J572" s="264">
        <v>207.6</v>
      </c>
      <c r="K572" s="94">
        <f t="shared" si="26"/>
        <v>2.0272227048943048E-3</v>
      </c>
    </row>
    <row r="573" spans="2:11" x14ac:dyDescent="0.25">
      <c r="B573" s="263">
        <v>45239</v>
      </c>
      <c r="C573" s="162">
        <v>4347.3500000000004</v>
      </c>
      <c r="D573" s="94">
        <f t="shared" si="24"/>
        <v>-8.0839102122395312E-3</v>
      </c>
      <c r="F573" s="161">
        <v>1259.72</v>
      </c>
      <c r="G573" s="94">
        <f t="shared" si="25"/>
        <v>-1.8175582990397787E-2</v>
      </c>
      <c r="J573" s="264">
        <v>206.24</v>
      </c>
      <c r="K573" s="94">
        <f t="shared" si="26"/>
        <v>-6.5510597302503859E-3</v>
      </c>
    </row>
    <row r="574" spans="2:11" x14ac:dyDescent="0.25">
      <c r="B574" s="263">
        <v>45240</v>
      </c>
      <c r="C574" s="162">
        <v>4415.24</v>
      </c>
      <c r="D574" s="94">
        <f t="shared" si="24"/>
        <v>1.5616409996894509E-2</v>
      </c>
      <c r="F574" s="161">
        <v>1280.5899999999999</v>
      </c>
      <c r="G574" s="94">
        <f t="shared" si="25"/>
        <v>1.6567173657638046E-2</v>
      </c>
      <c r="J574" s="264">
        <v>210.94</v>
      </c>
      <c r="K574" s="94">
        <f t="shared" si="26"/>
        <v>2.2788983708300847E-2</v>
      </c>
    </row>
    <row r="575" spans="2:11" x14ac:dyDescent="0.25">
      <c r="B575" s="263">
        <v>45243</v>
      </c>
      <c r="C575" s="162">
        <v>4411.55</v>
      </c>
      <c r="D575" s="94">
        <f t="shared" si="24"/>
        <v>-8.3574165843747217E-4</v>
      </c>
      <c r="F575" s="161">
        <v>1284.31</v>
      </c>
      <c r="G575" s="94">
        <f t="shared" si="25"/>
        <v>2.9049110175778381E-3</v>
      </c>
      <c r="J575" s="264">
        <v>214.6</v>
      </c>
      <c r="K575" s="94">
        <f t="shared" si="26"/>
        <v>1.7350905470749911E-2</v>
      </c>
    </row>
    <row r="576" spans="2:11" x14ac:dyDescent="0.25">
      <c r="B576" s="263">
        <v>45244</v>
      </c>
      <c r="C576" s="162">
        <v>4495.7</v>
      </c>
      <c r="D576" s="94">
        <f t="shared" si="24"/>
        <v>1.9074928313177919E-2</v>
      </c>
      <c r="F576" s="161">
        <v>1326.91</v>
      </c>
      <c r="G576" s="94">
        <f t="shared" si="25"/>
        <v>3.3169561865904695E-2</v>
      </c>
      <c r="J576" s="264">
        <v>220</v>
      </c>
      <c r="K576" s="94">
        <f t="shared" si="26"/>
        <v>2.5163094128611396E-2</v>
      </c>
    </row>
    <row r="577" spans="2:11" x14ac:dyDescent="0.25">
      <c r="B577" s="263">
        <v>45245</v>
      </c>
      <c r="C577" s="162">
        <v>4502.88</v>
      </c>
      <c r="D577" s="94">
        <f t="shared" si="24"/>
        <v>1.597081655804411E-3</v>
      </c>
      <c r="F577" s="161">
        <v>1326.39</v>
      </c>
      <c r="G577" s="94">
        <f t="shared" si="25"/>
        <v>-3.918879200548453E-4</v>
      </c>
      <c r="J577" s="264">
        <v>224.345</v>
      </c>
      <c r="K577" s="94">
        <f t="shared" si="26"/>
        <v>1.9749999999999934E-2</v>
      </c>
    </row>
    <row r="578" spans="2:11" x14ac:dyDescent="0.25">
      <c r="B578" s="263">
        <v>45246</v>
      </c>
      <c r="C578" s="162">
        <v>4508.24</v>
      </c>
      <c r="D578" s="94">
        <f t="shared" si="24"/>
        <v>1.1903492875668942E-3</v>
      </c>
      <c r="F578" s="161">
        <v>1314.32</v>
      </c>
      <c r="G578" s="94">
        <f t="shared" si="25"/>
        <v>-9.0998876650156824E-3</v>
      </c>
      <c r="J578" s="264">
        <v>227.72</v>
      </c>
      <c r="K578" s="94">
        <f t="shared" si="26"/>
        <v>1.5043794156321733E-2</v>
      </c>
    </row>
    <row r="579" spans="2:11" x14ac:dyDescent="0.25">
      <c r="B579" s="263">
        <v>45247</v>
      </c>
      <c r="C579" s="162">
        <v>4514.0200000000004</v>
      </c>
      <c r="D579" s="94">
        <f t="shared" si="24"/>
        <v>1.2820967827800178E-3</v>
      </c>
      <c r="F579" s="161">
        <v>1323.93</v>
      </c>
      <c r="G579" s="94">
        <f t="shared" si="25"/>
        <v>7.3117657800232383E-3</v>
      </c>
      <c r="J579" s="264">
        <v>230.12</v>
      </c>
      <c r="K579" s="94">
        <f t="shared" si="26"/>
        <v>1.0539258738802015E-2</v>
      </c>
    </row>
    <row r="580" spans="2:11" x14ac:dyDescent="0.25">
      <c r="B580" s="263">
        <v>45250</v>
      </c>
      <c r="C580" s="162">
        <v>4547.38</v>
      </c>
      <c r="D580" s="94">
        <f t="shared" si="24"/>
        <v>7.3903084168878141E-3</v>
      </c>
      <c r="F580" s="161">
        <v>1330.78</v>
      </c>
      <c r="G580" s="94">
        <f t="shared" si="25"/>
        <v>5.1739895613815978E-3</v>
      </c>
      <c r="J580" s="264">
        <v>231.81</v>
      </c>
      <c r="K580" s="94">
        <f t="shared" si="26"/>
        <v>7.3439944376847421E-3</v>
      </c>
    </row>
    <row r="581" spans="2:11" x14ac:dyDescent="0.25">
      <c r="B581" s="263">
        <v>45251</v>
      </c>
      <c r="C581" s="162">
        <v>4538.1899999999996</v>
      </c>
      <c r="D581" s="94">
        <f t="shared" si="24"/>
        <v>-2.020943928152108E-3</v>
      </c>
      <c r="F581" s="161">
        <v>1325.78</v>
      </c>
      <c r="G581" s="94">
        <f t="shared" si="25"/>
        <v>-3.7571950284794875E-3</v>
      </c>
      <c r="J581" s="264">
        <v>230.38</v>
      </c>
      <c r="K581" s="94">
        <f t="shared" si="26"/>
        <v>-6.1688451749277728E-3</v>
      </c>
    </row>
    <row r="582" spans="2:11" x14ac:dyDescent="0.25">
      <c r="B582" s="263">
        <v>45252</v>
      </c>
      <c r="C582" s="162">
        <v>4556.62</v>
      </c>
      <c r="D582" s="94">
        <f t="shared" si="24"/>
        <v>4.0610904347329058E-3</v>
      </c>
      <c r="F582" s="161">
        <v>1332.36</v>
      </c>
      <c r="G582" s="94">
        <f t="shared" si="25"/>
        <v>4.9631160524370443E-3</v>
      </c>
      <c r="J582" s="264">
        <v>234.85</v>
      </c>
      <c r="K582" s="94">
        <f t="shared" si="26"/>
        <v>1.9402725931070508E-2</v>
      </c>
    </row>
    <row r="583" spans="2:11" x14ac:dyDescent="0.25">
      <c r="B583" s="263">
        <v>45254</v>
      </c>
      <c r="C583" s="162">
        <v>4559.34</v>
      </c>
      <c r="D583" s="94">
        <f t="shared" si="24"/>
        <v>5.9693369207880487E-4</v>
      </c>
      <c r="F583" s="161">
        <v>1334.14</v>
      </c>
      <c r="G583" s="94">
        <f t="shared" si="25"/>
        <v>1.3359752619412912E-3</v>
      </c>
      <c r="J583" s="264">
        <v>235.67</v>
      </c>
      <c r="K583" s="94">
        <f t="shared" si="26"/>
        <v>3.4915903768362178E-3</v>
      </c>
    </row>
    <row r="584" spans="2:11" x14ac:dyDescent="0.25">
      <c r="B584" s="263">
        <v>45257</v>
      </c>
      <c r="C584" s="162">
        <v>4550.43</v>
      </c>
      <c r="D584" s="94">
        <f t="shared" si="24"/>
        <v>-1.9542302175314941E-3</v>
      </c>
      <c r="F584" s="161">
        <v>1336.71</v>
      </c>
      <c r="G584" s="94">
        <f t="shared" si="25"/>
        <v>1.9263345675866184E-3</v>
      </c>
      <c r="J584" s="264">
        <v>240.47</v>
      </c>
      <c r="K584" s="94">
        <f t="shared" si="26"/>
        <v>2.0367462977892936E-2</v>
      </c>
    </row>
    <row r="585" spans="2:11" x14ac:dyDescent="0.25">
      <c r="B585" s="263">
        <v>45258</v>
      </c>
      <c r="C585" s="162">
        <v>4554.8900000000003</v>
      </c>
      <c r="D585" s="94">
        <f t="shared" ref="D585:D648" si="27">C585/C584-1</f>
        <v>9.801271528184774E-4</v>
      </c>
      <c r="F585" s="161">
        <v>1343.9</v>
      </c>
      <c r="G585" s="94">
        <f t="shared" ref="G585:G648" si="28">F585/F584-1</f>
        <v>5.3788779914865081E-3</v>
      </c>
      <c r="J585" s="264">
        <v>238</v>
      </c>
      <c r="K585" s="94">
        <f t="shared" si="26"/>
        <v>-1.0271551544891233E-2</v>
      </c>
    </row>
    <row r="586" spans="2:11" x14ac:dyDescent="0.25">
      <c r="B586" s="263">
        <v>45259</v>
      </c>
      <c r="C586" s="162">
        <v>4550.58</v>
      </c>
      <c r="D586" s="94">
        <f t="shared" si="27"/>
        <v>-9.4623580371877569E-4</v>
      </c>
      <c r="F586" s="161">
        <v>1339.14</v>
      </c>
      <c r="G586" s="94">
        <f t="shared" si="28"/>
        <v>-3.5419302031400868E-3</v>
      </c>
      <c r="J586" s="264">
        <v>238.62</v>
      </c>
      <c r="K586" s="94">
        <f t="shared" ref="K586:K649" si="29">J586/J585-1</f>
        <v>2.605042016806669E-3</v>
      </c>
    </row>
    <row r="587" spans="2:11" x14ac:dyDescent="0.25">
      <c r="B587" s="263">
        <v>45260</v>
      </c>
      <c r="C587" s="162">
        <v>4567.8</v>
      </c>
      <c r="D587" s="94">
        <f t="shared" si="27"/>
        <v>3.7841330116161753E-3</v>
      </c>
      <c r="F587" s="161">
        <v>1336.91</v>
      </c>
      <c r="G587" s="94">
        <f t="shared" si="28"/>
        <v>-1.6652478456322672E-3</v>
      </c>
      <c r="J587" s="264">
        <v>240.36</v>
      </c>
      <c r="K587" s="94">
        <f t="shared" si="29"/>
        <v>7.2919285893890962E-3</v>
      </c>
    </row>
    <row r="588" spans="2:11" x14ac:dyDescent="0.25">
      <c r="B588" s="263">
        <v>45261</v>
      </c>
      <c r="C588" s="162">
        <v>4594.63</v>
      </c>
      <c r="D588" s="94">
        <f t="shared" si="27"/>
        <v>5.873724769035471E-3</v>
      </c>
      <c r="F588" s="161">
        <v>1353.94</v>
      </c>
      <c r="G588" s="94">
        <f t="shared" si="28"/>
        <v>1.2738329431300599E-2</v>
      </c>
      <c r="J588" s="264">
        <v>242.69</v>
      </c>
      <c r="K588" s="94">
        <f t="shared" si="29"/>
        <v>9.693792644366761E-3</v>
      </c>
    </row>
    <row r="589" spans="2:11" x14ac:dyDescent="0.25">
      <c r="B589" s="263">
        <v>45264</v>
      </c>
      <c r="C589" s="162">
        <v>4569.78</v>
      </c>
      <c r="D589" s="94">
        <f t="shared" si="27"/>
        <v>-5.4084877345945692E-3</v>
      </c>
      <c r="F589" s="161">
        <v>1347.65</v>
      </c>
      <c r="G589" s="94">
        <f t="shared" si="28"/>
        <v>-4.6457006957472124E-3</v>
      </c>
      <c r="J589" s="264">
        <v>245.02</v>
      </c>
      <c r="K589" s="94">
        <f t="shared" si="29"/>
        <v>9.6007252049941094E-3</v>
      </c>
    </row>
    <row r="590" spans="2:11" x14ac:dyDescent="0.25">
      <c r="B590" s="263">
        <v>45265</v>
      </c>
      <c r="C590" s="162">
        <v>4567.18</v>
      </c>
      <c r="D590" s="94">
        <f t="shared" si="27"/>
        <v>-5.6895517946142782E-4</v>
      </c>
      <c r="F590" s="161">
        <v>1351.92</v>
      </c>
      <c r="G590" s="94">
        <f t="shared" si="28"/>
        <v>3.1684784625087836E-3</v>
      </c>
      <c r="J590" s="264">
        <v>243.31</v>
      </c>
      <c r="K590" s="94">
        <f t="shared" si="29"/>
        <v>-6.9790221206432745E-3</v>
      </c>
    </row>
    <row r="591" spans="2:11" x14ac:dyDescent="0.25">
      <c r="B591" s="263">
        <v>45266</v>
      </c>
      <c r="C591" s="162">
        <v>4549.34</v>
      </c>
      <c r="D591" s="94">
        <f t="shared" si="27"/>
        <v>-3.9061302598102365E-3</v>
      </c>
      <c r="F591" s="161">
        <v>1351.44</v>
      </c>
      <c r="G591" s="94">
        <f t="shared" si="28"/>
        <v>-3.5505059470974931E-4</v>
      </c>
      <c r="J591" s="264">
        <v>247.07</v>
      </c>
      <c r="K591" s="94">
        <f t="shared" si="29"/>
        <v>1.5453536640499754E-2</v>
      </c>
    </row>
    <row r="592" spans="2:11" x14ac:dyDescent="0.25">
      <c r="B592" s="263">
        <v>45267</v>
      </c>
      <c r="C592" s="162">
        <v>4585.59</v>
      </c>
      <c r="D592" s="94">
        <f t="shared" si="27"/>
        <v>7.9681887922204986E-3</v>
      </c>
      <c r="F592" s="161">
        <v>1363.54</v>
      </c>
      <c r="G592" s="94">
        <f t="shared" si="28"/>
        <v>8.9534126561297001E-3</v>
      </c>
      <c r="J592" s="264">
        <v>245.76</v>
      </c>
      <c r="K592" s="94">
        <f t="shared" si="29"/>
        <v>-5.302141093617152E-3</v>
      </c>
    </row>
    <row r="593" spans="2:11" x14ac:dyDescent="0.25">
      <c r="B593" s="263">
        <v>45268</v>
      </c>
      <c r="C593" s="162">
        <v>4604.37</v>
      </c>
      <c r="D593" s="94">
        <f t="shared" si="27"/>
        <v>4.0954381006588214E-3</v>
      </c>
      <c r="F593" s="161">
        <v>1369.43</v>
      </c>
      <c r="G593" s="94">
        <f t="shared" si="28"/>
        <v>4.3196385877937171E-3</v>
      </c>
      <c r="J593" s="264">
        <v>247.18</v>
      </c>
      <c r="K593" s="94">
        <f t="shared" si="29"/>
        <v>5.7779947916667407E-3</v>
      </c>
    </row>
    <row r="594" spans="2:11" x14ac:dyDescent="0.25">
      <c r="B594" s="263">
        <v>45271</v>
      </c>
      <c r="C594" s="162">
        <v>4622.4399999999996</v>
      </c>
      <c r="D594" s="94">
        <f t="shared" si="27"/>
        <v>3.9245325636296791E-3</v>
      </c>
      <c r="F594" s="161">
        <v>1371.13</v>
      </c>
      <c r="G594" s="94">
        <f t="shared" si="28"/>
        <v>1.2413924041390079E-3</v>
      </c>
      <c r="J594" s="264">
        <v>246.07</v>
      </c>
      <c r="K594" s="94">
        <f t="shared" si="29"/>
        <v>-4.4906545837042344E-3</v>
      </c>
    </row>
    <row r="595" spans="2:11" x14ac:dyDescent="0.25">
      <c r="B595" s="263">
        <v>45272</v>
      </c>
      <c r="C595" s="162">
        <v>4643.7</v>
      </c>
      <c r="D595" s="94">
        <f t="shared" si="27"/>
        <v>4.599302532861449E-3</v>
      </c>
      <c r="F595" s="161">
        <v>1376.6</v>
      </c>
      <c r="G595" s="94">
        <f t="shared" si="28"/>
        <v>3.9894101945110449E-3</v>
      </c>
      <c r="J595" s="264">
        <v>248.85</v>
      </c>
      <c r="K595" s="94">
        <f t="shared" si="29"/>
        <v>1.1297598244401907E-2</v>
      </c>
    </row>
    <row r="596" spans="2:11" x14ac:dyDescent="0.25">
      <c r="B596" s="263">
        <v>45273</v>
      </c>
      <c r="C596" s="162">
        <v>4707.09</v>
      </c>
      <c r="D596" s="94">
        <f t="shared" si="27"/>
        <v>1.3650752632599072E-2</v>
      </c>
      <c r="F596" s="161">
        <v>1395.22</v>
      </c>
      <c r="G596" s="94">
        <f t="shared" si="28"/>
        <v>1.352607874473355E-2</v>
      </c>
      <c r="J596" s="264">
        <v>251.78</v>
      </c>
      <c r="K596" s="94">
        <f t="shared" si="29"/>
        <v>1.177416114124985E-2</v>
      </c>
    </row>
    <row r="597" spans="2:11" x14ac:dyDescent="0.25">
      <c r="B597" s="263">
        <v>45274</v>
      </c>
      <c r="C597" s="162">
        <v>4719.55</v>
      </c>
      <c r="D597" s="94">
        <f t="shared" si="27"/>
        <v>2.6470706954828671E-3</v>
      </c>
      <c r="F597" s="161">
        <v>1410.22</v>
      </c>
      <c r="G597" s="94">
        <f t="shared" si="28"/>
        <v>1.0750992674990245E-2</v>
      </c>
      <c r="J597" s="264">
        <v>245.16</v>
      </c>
      <c r="K597" s="94">
        <f t="shared" si="29"/>
        <v>-2.6292795297481963E-2</v>
      </c>
    </row>
    <row r="598" spans="2:11" x14ac:dyDescent="0.25">
      <c r="B598" s="263">
        <v>45275</v>
      </c>
      <c r="C598" s="162">
        <v>4719.1899999999996</v>
      </c>
      <c r="D598" s="94">
        <f t="shared" si="27"/>
        <v>-7.6278458751466438E-5</v>
      </c>
      <c r="F598" s="161">
        <v>1416.96</v>
      </c>
      <c r="G598" s="94">
        <f t="shared" si="28"/>
        <v>4.7793961225908177E-3</v>
      </c>
      <c r="J598" s="264">
        <v>245.68</v>
      </c>
      <c r="K598" s="94">
        <f t="shared" si="29"/>
        <v>2.1210637950725975E-3</v>
      </c>
    </row>
    <row r="599" spans="2:11" x14ac:dyDescent="0.25">
      <c r="B599" s="263">
        <v>45278</v>
      </c>
      <c r="C599" s="162">
        <v>4740.5600000000004</v>
      </c>
      <c r="D599" s="94">
        <f t="shared" si="27"/>
        <v>4.5283194785548098E-3</v>
      </c>
      <c r="F599" s="161">
        <v>1428.18</v>
      </c>
      <c r="G599" s="94">
        <f t="shared" si="28"/>
        <v>7.9183604336043878E-3</v>
      </c>
      <c r="J599" s="264">
        <v>251.24</v>
      </c>
      <c r="K599" s="94">
        <f t="shared" si="29"/>
        <v>2.263106479973942E-2</v>
      </c>
    </row>
    <row r="600" spans="2:11" x14ac:dyDescent="0.25">
      <c r="B600" s="263">
        <v>45279</v>
      </c>
      <c r="C600" s="162">
        <v>4768.37</v>
      </c>
      <c r="D600" s="94">
        <f t="shared" si="27"/>
        <v>5.8663955313296157E-3</v>
      </c>
      <c r="F600" s="161">
        <v>1438.2</v>
      </c>
      <c r="G600" s="94">
        <f t="shared" si="28"/>
        <v>7.0159223627273004E-3</v>
      </c>
      <c r="J600" s="264">
        <v>254.49</v>
      </c>
      <c r="K600" s="94">
        <f t="shared" si="29"/>
        <v>1.2935838242318143E-2</v>
      </c>
    </row>
    <row r="601" spans="2:11" x14ac:dyDescent="0.25">
      <c r="B601" s="263">
        <v>45280</v>
      </c>
      <c r="C601" s="162">
        <v>4698.3500000000004</v>
      </c>
      <c r="D601" s="94">
        <f t="shared" si="27"/>
        <v>-1.4684263175886003E-2</v>
      </c>
      <c r="F601" s="161">
        <v>1413.11</v>
      </c>
      <c r="G601" s="94">
        <f t="shared" si="28"/>
        <v>-1.7445417883465542E-2</v>
      </c>
      <c r="J601" s="264">
        <v>252.8</v>
      </c>
      <c r="K601" s="94">
        <f t="shared" si="29"/>
        <v>-6.6407324452827377E-3</v>
      </c>
    </row>
    <row r="602" spans="2:11" x14ac:dyDescent="0.25">
      <c r="B602" s="263">
        <v>45281</v>
      </c>
      <c r="C602" s="162">
        <v>4746.75</v>
      </c>
      <c r="D602" s="94">
        <f t="shared" si="27"/>
        <v>1.030148882054327E-2</v>
      </c>
      <c r="F602" s="161">
        <v>1433.5</v>
      </c>
      <c r="G602" s="94">
        <f t="shared" si="28"/>
        <v>1.4429166873067167E-2</v>
      </c>
      <c r="J602" s="264">
        <v>256.05</v>
      </c>
      <c r="K602" s="94">
        <f t="shared" si="29"/>
        <v>1.2856012658227778E-2</v>
      </c>
    </row>
    <row r="603" spans="2:11" x14ac:dyDescent="0.25">
      <c r="B603" s="263">
        <v>45282</v>
      </c>
      <c r="C603" s="162">
        <v>4754.63</v>
      </c>
      <c r="D603" s="94">
        <f t="shared" si="27"/>
        <v>1.6600832148312428E-3</v>
      </c>
      <c r="F603" s="161">
        <v>1424.21</v>
      </c>
      <c r="G603" s="94">
        <f t="shared" si="28"/>
        <v>-6.4806417858388476E-3</v>
      </c>
      <c r="J603" s="264">
        <v>258.17</v>
      </c>
      <c r="K603" s="94">
        <f t="shared" si="29"/>
        <v>8.2796328842023037E-3</v>
      </c>
    </row>
    <row r="604" spans="2:11" x14ac:dyDescent="0.25">
      <c r="B604" s="263">
        <v>45286</v>
      </c>
      <c r="C604" s="162">
        <v>4774.75</v>
      </c>
      <c r="D604" s="94">
        <f t="shared" si="27"/>
        <v>4.2316647141837915E-3</v>
      </c>
      <c r="F604" s="161">
        <v>1429.19</v>
      </c>
      <c r="G604" s="94">
        <f t="shared" si="28"/>
        <v>3.4966753498431036E-3</v>
      </c>
      <c r="J604" s="264">
        <v>258.97000000000003</v>
      </c>
      <c r="K604" s="94">
        <f t="shared" si="29"/>
        <v>3.0987333927257055E-3</v>
      </c>
    </row>
    <row r="605" spans="2:11" x14ac:dyDescent="0.25">
      <c r="B605" s="263">
        <v>45287</v>
      </c>
      <c r="C605" s="162">
        <v>4781.58</v>
      </c>
      <c r="D605" s="94">
        <f t="shared" si="27"/>
        <v>1.430441384365766E-3</v>
      </c>
      <c r="F605" s="161">
        <v>1432.99</v>
      </c>
      <c r="G605" s="94">
        <f t="shared" si="28"/>
        <v>2.6588487185048582E-3</v>
      </c>
      <c r="J605" s="264">
        <v>260.39</v>
      </c>
      <c r="K605" s="94">
        <f t="shared" si="29"/>
        <v>5.4832606093369041E-3</v>
      </c>
    </row>
    <row r="606" spans="2:11" x14ac:dyDescent="0.25">
      <c r="B606" s="263">
        <v>45288</v>
      </c>
      <c r="C606" s="162">
        <v>4783.3500000000004</v>
      </c>
      <c r="D606" s="94">
        <f t="shared" si="27"/>
        <v>3.7017052940679918E-4</v>
      </c>
      <c r="F606" s="161">
        <v>1427.14</v>
      </c>
      <c r="G606" s="94">
        <f t="shared" si="28"/>
        <v>-4.0823732196315632E-3</v>
      </c>
      <c r="J606" s="264">
        <v>257.88</v>
      </c>
      <c r="K606" s="94">
        <f t="shared" si="29"/>
        <v>-9.6393870732363052E-3</v>
      </c>
    </row>
    <row r="607" spans="2:11" x14ac:dyDescent="0.25">
      <c r="B607" s="263">
        <v>45289</v>
      </c>
      <c r="C607" s="162">
        <v>4769.83</v>
      </c>
      <c r="D607" s="94">
        <f t="shared" si="27"/>
        <v>-2.8264709879060046E-3</v>
      </c>
      <c r="F607" s="161">
        <v>1418.09</v>
      </c>
      <c r="G607" s="94">
        <f t="shared" si="28"/>
        <v>-6.3413540367449617E-3</v>
      </c>
      <c r="J607" s="264">
        <v>256.58</v>
      </c>
      <c r="K607" s="94">
        <f t="shared" si="29"/>
        <v>-5.0411043896386731E-3</v>
      </c>
    </row>
    <row r="608" spans="2:11" x14ac:dyDescent="0.25">
      <c r="B608" s="263">
        <v>45293</v>
      </c>
      <c r="C608" s="162">
        <v>4742.83</v>
      </c>
      <c r="D608" s="94">
        <f t="shared" si="27"/>
        <v>-5.6605790982068305E-3</v>
      </c>
      <c r="F608" s="161">
        <v>1405.01</v>
      </c>
      <c r="G608" s="94">
        <f t="shared" si="28"/>
        <v>-9.2236740968485442E-3</v>
      </c>
      <c r="J608" s="264">
        <v>252.39</v>
      </c>
      <c r="K608" s="94">
        <f t="shared" si="29"/>
        <v>-1.633018941460751E-2</v>
      </c>
    </row>
    <row r="609" spans="2:11" x14ac:dyDescent="0.25">
      <c r="B609" s="263">
        <v>45294</v>
      </c>
      <c r="C609" s="162">
        <v>4704.8100000000004</v>
      </c>
      <c r="D609" s="94">
        <f t="shared" si="27"/>
        <v>-8.0163109367190621E-3</v>
      </c>
      <c r="F609" s="161">
        <v>1378.56</v>
      </c>
      <c r="G609" s="94">
        <f t="shared" si="28"/>
        <v>-1.8825488786556765E-2</v>
      </c>
      <c r="J609" s="264">
        <v>244.67</v>
      </c>
      <c r="K609" s="94">
        <f t="shared" si="29"/>
        <v>-3.0587582709299066E-2</v>
      </c>
    </row>
    <row r="610" spans="2:11" x14ac:dyDescent="0.25">
      <c r="B610" s="263">
        <v>45295</v>
      </c>
      <c r="C610" s="162">
        <v>4688.68</v>
      </c>
      <c r="D610" s="94">
        <f t="shared" si="27"/>
        <v>-3.4284062480738342E-3</v>
      </c>
      <c r="F610" s="161">
        <v>1365.24</v>
      </c>
      <c r="G610" s="94">
        <f t="shared" si="28"/>
        <v>-9.6622562674094636E-3</v>
      </c>
      <c r="J610" s="264">
        <v>243.2</v>
      </c>
      <c r="K610" s="94">
        <f t="shared" si="29"/>
        <v>-6.0080925327993251E-3</v>
      </c>
    </row>
    <row r="611" spans="2:11" x14ac:dyDescent="0.25">
      <c r="B611" s="263">
        <v>45296</v>
      </c>
      <c r="C611" s="162">
        <v>4697.24</v>
      </c>
      <c r="D611" s="94">
        <f t="shared" si="27"/>
        <v>1.8256737503945519E-3</v>
      </c>
      <c r="F611" s="161">
        <v>1369.16</v>
      </c>
      <c r="G611" s="94">
        <f t="shared" si="28"/>
        <v>2.8712900295919663E-3</v>
      </c>
      <c r="J611" s="264">
        <v>245.23</v>
      </c>
      <c r="K611" s="94">
        <f t="shared" si="29"/>
        <v>8.3470394736842035E-3</v>
      </c>
    </row>
    <row r="612" spans="2:11" x14ac:dyDescent="0.25">
      <c r="B612" s="263">
        <v>45299</v>
      </c>
      <c r="C612" s="162">
        <v>4763.54</v>
      </c>
      <c r="D612" s="94">
        <f t="shared" si="27"/>
        <v>1.4114671594383177E-2</v>
      </c>
      <c r="F612" s="161">
        <v>1393.36</v>
      </c>
      <c r="G612" s="94">
        <f t="shared" si="28"/>
        <v>1.7675070846358221E-2</v>
      </c>
      <c r="J612" s="264">
        <v>248.39</v>
      </c>
      <c r="K612" s="94">
        <f t="shared" si="29"/>
        <v>1.288586225176358E-2</v>
      </c>
    </row>
    <row r="613" spans="2:11" x14ac:dyDescent="0.25">
      <c r="B613" s="263">
        <v>45300</v>
      </c>
      <c r="C613" s="162">
        <v>4756.5</v>
      </c>
      <c r="D613" s="94">
        <f t="shared" si="27"/>
        <v>-1.4778924917183689E-3</v>
      </c>
      <c r="F613" s="161">
        <v>1391.47</v>
      </c>
      <c r="G613" s="94">
        <f t="shared" si="28"/>
        <v>-1.3564333696961528E-3</v>
      </c>
      <c r="J613" s="264">
        <v>253.92</v>
      </c>
      <c r="K613" s="94">
        <f t="shared" si="29"/>
        <v>2.2263376142356739E-2</v>
      </c>
    </row>
    <row r="614" spans="2:11" x14ac:dyDescent="0.25">
      <c r="B614" s="263">
        <v>45301</v>
      </c>
      <c r="C614" s="162">
        <v>4783.45</v>
      </c>
      <c r="D614" s="94">
        <f t="shared" si="27"/>
        <v>5.6659308314936929E-3</v>
      </c>
      <c r="F614" s="161">
        <v>1405.16</v>
      </c>
      <c r="G614" s="94">
        <f t="shared" si="28"/>
        <v>9.838516101676742E-3</v>
      </c>
      <c r="J614" s="264">
        <v>259.42</v>
      </c>
      <c r="K614" s="94">
        <f t="shared" si="29"/>
        <v>2.1660365469439391E-2</v>
      </c>
    </row>
    <row r="615" spans="2:11" x14ac:dyDescent="0.25">
      <c r="B615" s="263">
        <v>45302</v>
      </c>
      <c r="C615" s="162">
        <v>4780.24</v>
      </c>
      <c r="D615" s="94">
        <f t="shared" si="27"/>
        <v>-6.7106377196379796E-4</v>
      </c>
      <c r="F615" s="161">
        <v>1404.75</v>
      </c>
      <c r="G615" s="94">
        <f t="shared" si="28"/>
        <v>-2.9178171880783754E-4</v>
      </c>
      <c r="J615" s="264">
        <v>262.57</v>
      </c>
      <c r="K615" s="94">
        <f t="shared" si="29"/>
        <v>1.2142471667565991E-2</v>
      </c>
    </row>
    <row r="616" spans="2:11" x14ac:dyDescent="0.25">
      <c r="B616" s="263">
        <v>45303</v>
      </c>
      <c r="C616" s="162">
        <v>4783.83</v>
      </c>
      <c r="D616" s="94">
        <f t="shared" si="27"/>
        <v>7.5100831757413111E-4</v>
      </c>
      <c r="F616" s="161">
        <v>1390.05</v>
      </c>
      <c r="G616" s="94">
        <f t="shared" si="28"/>
        <v>-1.0464495461825929E-2</v>
      </c>
      <c r="J616" s="264">
        <v>261.27</v>
      </c>
      <c r="K616" s="94">
        <f t="shared" si="29"/>
        <v>-4.9510606695357673E-3</v>
      </c>
    </row>
    <row r="617" spans="2:11" x14ac:dyDescent="0.25">
      <c r="B617" s="263">
        <v>45307</v>
      </c>
      <c r="C617" s="162">
        <v>4765.9799999999996</v>
      </c>
      <c r="D617" s="94">
        <f t="shared" si="27"/>
        <v>-3.7313198838587747E-3</v>
      </c>
      <c r="F617" s="161">
        <v>1387.23</v>
      </c>
      <c r="G617" s="94">
        <f t="shared" si="28"/>
        <v>-2.028704003453119E-3</v>
      </c>
      <c r="J617" s="264">
        <v>271.7</v>
      </c>
      <c r="K617" s="94">
        <f t="shared" si="29"/>
        <v>3.9920388869751688E-2</v>
      </c>
    </row>
    <row r="618" spans="2:11" x14ac:dyDescent="0.25">
      <c r="B618" s="263">
        <v>45308</v>
      </c>
      <c r="C618" s="162">
        <v>4739.21</v>
      </c>
      <c r="D618" s="94">
        <f t="shared" si="27"/>
        <v>-5.6168930629166836E-3</v>
      </c>
      <c r="F618" s="161">
        <v>1374.59</v>
      </c>
      <c r="G618" s="94">
        <f t="shared" si="28"/>
        <v>-9.1116829941683131E-3</v>
      </c>
      <c r="J618" s="264">
        <v>273.49</v>
      </c>
      <c r="K618" s="94">
        <f t="shared" si="29"/>
        <v>6.5881486934118438E-3</v>
      </c>
    </row>
    <row r="619" spans="2:11" x14ac:dyDescent="0.25">
      <c r="B619" s="263">
        <v>45309</v>
      </c>
      <c r="C619" s="162">
        <v>4780.9399999999996</v>
      </c>
      <c r="D619" s="94">
        <f t="shared" si="27"/>
        <v>8.8052650125229892E-3</v>
      </c>
      <c r="F619" s="161">
        <v>1383.09</v>
      </c>
      <c r="G619" s="94">
        <f t="shared" si="28"/>
        <v>6.1836620374076112E-3</v>
      </c>
      <c r="J619" s="264">
        <v>275.48</v>
      </c>
      <c r="K619" s="94">
        <f t="shared" si="29"/>
        <v>7.2763172328056402E-3</v>
      </c>
    </row>
    <row r="620" spans="2:11" x14ac:dyDescent="0.25">
      <c r="B620" s="263">
        <v>45310</v>
      </c>
      <c r="C620" s="162">
        <v>4839.8100000000004</v>
      </c>
      <c r="D620" s="94">
        <f t="shared" si="27"/>
        <v>1.2313478102632613E-2</v>
      </c>
      <c r="F620" s="161">
        <v>1397.23</v>
      </c>
      <c r="G620" s="94">
        <f t="shared" si="28"/>
        <v>1.022348509496851E-2</v>
      </c>
      <c r="J620" s="264">
        <v>275.75</v>
      </c>
      <c r="K620" s="94">
        <f t="shared" si="29"/>
        <v>9.8010744881649181E-4</v>
      </c>
    </row>
    <row r="621" spans="2:11" x14ac:dyDescent="0.25">
      <c r="B621" s="263">
        <v>45313</v>
      </c>
      <c r="C621" s="162">
        <v>4850.43</v>
      </c>
      <c r="D621" s="94">
        <f t="shared" si="27"/>
        <v>2.194301015948863E-3</v>
      </c>
      <c r="F621" s="161">
        <v>1389.99</v>
      </c>
      <c r="G621" s="94">
        <f t="shared" si="28"/>
        <v>-5.181680897203722E-3</v>
      </c>
      <c r="J621" s="264">
        <v>281.82</v>
      </c>
      <c r="K621" s="94">
        <f t="shared" si="29"/>
        <v>2.2012692656391719E-2</v>
      </c>
    </row>
    <row r="622" spans="2:11" x14ac:dyDescent="0.25">
      <c r="B622" s="263">
        <v>45314</v>
      </c>
      <c r="C622" s="162">
        <v>4864.6000000000004</v>
      </c>
      <c r="D622" s="94">
        <f t="shared" si="27"/>
        <v>2.9213904746590025E-3</v>
      </c>
      <c r="F622" s="161">
        <v>1388.01</v>
      </c>
      <c r="G622" s="94">
        <f t="shared" si="28"/>
        <v>-1.42447067964524E-3</v>
      </c>
      <c r="J622" s="264">
        <v>283.19</v>
      </c>
      <c r="K622" s="94">
        <f t="shared" si="29"/>
        <v>4.8612589596195299E-3</v>
      </c>
    </row>
    <row r="623" spans="2:11" x14ac:dyDescent="0.25">
      <c r="B623" s="263">
        <v>45315</v>
      </c>
      <c r="C623" s="162">
        <v>4868.55</v>
      </c>
      <c r="D623" s="94">
        <f t="shared" si="27"/>
        <v>8.1198865271558951E-4</v>
      </c>
      <c r="F623" s="161">
        <v>1384.65</v>
      </c>
      <c r="G623" s="94">
        <f t="shared" si="28"/>
        <v>-2.420731839107737E-3</v>
      </c>
      <c r="J623" s="264">
        <v>280.47000000000003</v>
      </c>
      <c r="K623" s="94">
        <f t="shared" si="29"/>
        <v>-9.6048589286343855E-3</v>
      </c>
    </row>
    <row r="624" spans="2:11" x14ac:dyDescent="0.25">
      <c r="B624" s="263">
        <v>45316</v>
      </c>
      <c r="C624" s="162">
        <v>4894.16</v>
      </c>
      <c r="D624" s="94">
        <f t="shared" si="27"/>
        <v>5.2602931057501578E-3</v>
      </c>
      <c r="F624" s="161">
        <v>1370.13</v>
      </c>
      <c r="G624" s="94">
        <f t="shared" si="28"/>
        <v>-1.0486404506554026E-2</v>
      </c>
      <c r="J624" s="264">
        <v>280.81</v>
      </c>
      <c r="K624" s="94">
        <f t="shared" si="29"/>
        <v>1.212250864619957E-3</v>
      </c>
    </row>
    <row r="625" spans="2:11" x14ac:dyDescent="0.25">
      <c r="B625" s="263">
        <v>45317</v>
      </c>
      <c r="C625" s="162">
        <v>4890.97</v>
      </c>
      <c r="D625" s="94">
        <f t="shared" si="27"/>
        <v>-6.517972440622799E-4</v>
      </c>
      <c r="F625" s="161">
        <v>1377.67</v>
      </c>
      <c r="G625" s="94">
        <f t="shared" si="28"/>
        <v>5.5031274404617747E-3</v>
      </c>
      <c r="J625" s="264">
        <v>273.19</v>
      </c>
      <c r="K625" s="94">
        <f t="shared" si="29"/>
        <v>-2.7135785762615328E-2</v>
      </c>
    </row>
    <row r="626" spans="2:11" x14ac:dyDescent="0.25">
      <c r="B626" s="263">
        <v>45320</v>
      </c>
      <c r="C626" s="162">
        <v>4927.93</v>
      </c>
      <c r="D626" s="94">
        <f t="shared" si="27"/>
        <v>7.5567832147815928E-3</v>
      </c>
      <c r="F626" s="161">
        <v>1396.54</v>
      </c>
      <c r="G626" s="94">
        <f t="shared" si="28"/>
        <v>1.3697039203873107E-2</v>
      </c>
      <c r="J626" s="264">
        <v>278.99</v>
      </c>
      <c r="K626" s="94">
        <f t="shared" si="29"/>
        <v>2.1230645338409238E-2</v>
      </c>
    </row>
    <row r="627" spans="2:11" x14ac:dyDescent="0.25">
      <c r="B627" s="263">
        <v>45321</v>
      </c>
      <c r="C627" s="162">
        <v>4924.97</v>
      </c>
      <c r="D627" s="94">
        <f t="shared" si="27"/>
        <v>-6.0065788272156695E-4</v>
      </c>
      <c r="F627" s="161">
        <v>1393.51</v>
      </c>
      <c r="G627" s="94">
        <f t="shared" si="28"/>
        <v>-2.1696478439572342E-3</v>
      </c>
      <c r="J627" s="264">
        <v>279.2</v>
      </c>
      <c r="K627" s="94">
        <f t="shared" si="29"/>
        <v>7.5271515108066289E-4</v>
      </c>
    </row>
    <row r="628" spans="2:11" x14ac:dyDescent="0.25">
      <c r="B628" s="263">
        <v>45322</v>
      </c>
      <c r="C628" s="162">
        <v>4845.6499999999996</v>
      </c>
      <c r="D628" s="94">
        <f t="shared" si="27"/>
        <v>-1.6105681862021659E-2</v>
      </c>
      <c r="F628" s="161">
        <v>1367.7</v>
      </c>
      <c r="G628" s="94">
        <f t="shared" si="28"/>
        <v>-1.8521575015608027E-2</v>
      </c>
      <c r="J628" s="264">
        <v>281.11</v>
      </c>
      <c r="K628" s="94">
        <f t="shared" si="29"/>
        <v>6.8409742120345562E-3</v>
      </c>
    </row>
    <row r="629" spans="2:11" x14ac:dyDescent="0.25">
      <c r="B629" s="263">
        <v>45323</v>
      </c>
      <c r="C629" s="162">
        <v>4906.1899999999996</v>
      </c>
      <c r="D629" s="94">
        <f t="shared" si="27"/>
        <v>1.2493679898465615E-2</v>
      </c>
      <c r="F629" s="161">
        <v>1394.73</v>
      </c>
      <c r="G629" s="94">
        <f t="shared" si="28"/>
        <v>1.9763105944285986E-2</v>
      </c>
      <c r="J629" s="264">
        <v>287.58999999999997</v>
      </c>
      <c r="K629" s="94">
        <f t="shared" si="29"/>
        <v>2.3051474511756931E-2</v>
      </c>
    </row>
    <row r="630" spans="2:11" x14ac:dyDescent="0.25">
      <c r="B630" s="263">
        <v>45324</v>
      </c>
      <c r="C630" s="162">
        <v>4958.6099999999997</v>
      </c>
      <c r="D630" s="94">
        <f t="shared" si="27"/>
        <v>1.0684461873673889E-2</v>
      </c>
      <c r="F630" s="161">
        <v>1429.55</v>
      </c>
      <c r="G630" s="94">
        <f t="shared" si="28"/>
        <v>2.4965405490668502E-2</v>
      </c>
      <c r="J630" s="264">
        <v>287.77</v>
      </c>
      <c r="K630" s="94">
        <f t="shared" si="29"/>
        <v>6.2589102541821262E-4</v>
      </c>
    </row>
    <row r="631" spans="2:11" x14ac:dyDescent="0.25">
      <c r="B631" s="263">
        <v>45327</v>
      </c>
      <c r="C631" s="162">
        <v>4942.8100000000004</v>
      </c>
      <c r="D631" s="94">
        <f t="shared" si="27"/>
        <v>-3.18637682737688E-3</v>
      </c>
      <c r="F631" s="161">
        <v>1410.75</v>
      </c>
      <c r="G631" s="94">
        <f t="shared" si="28"/>
        <v>-1.315099157077404E-2</v>
      </c>
      <c r="J631" s="264">
        <v>285.94</v>
      </c>
      <c r="K631" s="94">
        <f t="shared" si="29"/>
        <v>-6.3592452305659686E-3</v>
      </c>
    </row>
    <row r="632" spans="2:11" x14ac:dyDescent="0.25">
      <c r="B632" s="263">
        <v>45328</v>
      </c>
      <c r="C632" s="162">
        <v>4954.2299999999996</v>
      </c>
      <c r="D632" s="94">
        <f t="shared" si="27"/>
        <v>2.310426660138587E-3</v>
      </c>
      <c r="F632" s="161">
        <v>1415.99</v>
      </c>
      <c r="G632" s="94">
        <f t="shared" si="28"/>
        <v>3.7143363459153367E-3</v>
      </c>
      <c r="J632" s="264">
        <v>286.48</v>
      </c>
      <c r="K632" s="94">
        <f t="shared" si="29"/>
        <v>1.8885080786179564E-3</v>
      </c>
    </row>
    <row r="633" spans="2:11" x14ac:dyDescent="0.25">
      <c r="B633" s="263">
        <v>45329</v>
      </c>
      <c r="C633" s="162">
        <v>4995.0600000000004</v>
      </c>
      <c r="D633" s="94">
        <f t="shared" si="27"/>
        <v>8.2414421615468747E-3</v>
      </c>
      <c r="F633" s="161">
        <v>1431.92</v>
      </c>
      <c r="G633" s="94">
        <f t="shared" si="28"/>
        <v>1.1250079449713679E-2</v>
      </c>
      <c r="J633" s="264">
        <v>292.79000000000002</v>
      </c>
      <c r="K633" s="94">
        <f t="shared" si="29"/>
        <v>2.2025970399329742E-2</v>
      </c>
    </row>
    <row r="634" spans="2:11" x14ac:dyDescent="0.25">
      <c r="B634" s="263">
        <v>45330</v>
      </c>
      <c r="C634" s="162">
        <v>4997.91</v>
      </c>
      <c r="D634" s="94">
        <f t="shared" si="27"/>
        <v>5.7056371695218822E-4</v>
      </c>
      <c r="F634" s="161">
        <v>1436.11</v>
      </c>
      <c r="G634" s="94">
        <f t="shared" si="28"/>
        <v>2.9261411252023972E-3</v>
      </c>
      <c r="J634" s="264">
        <v>294.14999999999998</v>
      </c>
      <c r="K634" s="94">
        <f t="shared" si="29"/>
        <v>4.6449673827657634E-3</v>
      </c>
    </row>
    <row r="635" spans="2:11" x14ac:dyDescent="0.25">
      <c r="B635" s="263">
        <v>45331</v>
      </c>
      <c r="C635" s="162">
        <v>5026.6099999999997</v>
      </c>
      <c r="D635" s="94">
        <f t="shared" si="27"/>
        <v>5.7424003233350618E-3</v>
      </c>
      <c r="F635" s="161">
        <v>1450.31</v>
      </c>
      <c r="G635" s="94">
        <f t="shared" si="28"/>
        <v>9.8878219634985776E-3</v>
      </c>
      <c r="J635" s="264">
        <v>295.5</v>
      </c>
      <c r="K635" s="94">
        <f t="shared" si="29"/>
        <v>4.5894951555329744E-3</v>
      </c>
    </row>
    <row r="636" spans="2:11" x14ac:dyDescent="0.25">
      <c r="B636" s="263">
        <v>45334</v>
      </c>
      <c r="C636" s="162">
        <v>5021.84</v>
      </c>
      <c r="D636" s="94">
        <f t="shared" si="27"/>
        <v>-9.4894968975101079E-4</v>
      </c>
      <c r="F636" s="161">
        <v>1446.31</v>
      </c>
      <c r="G636" s="94">
        <f t="shared" si="28"/>
        <v>-2.7580310416394083E-3</v>
      </c>
      <c r="J636" s="264">
        <v>293.25</v>
      </c>
      <c r="K636" s="94">
        <f t="shared" si="29"/>
        <v>-7.6142131979695105E-3</v>
      </c>
    </row>
    <row r="637" spans="2:11" x14ac:dyDescent="0.25">
      <c r="B637" s="263">
        <v>45335</v>
      </c>
      <c r="C637" s="162">
        <v>4953.17</v>
      </c>
      <c r="D637" s="94">
        <f t="shared" si="27"/>
        <v>-1.3674270785210219E-2</v>
      </c>
      <c r="F637" s="161">
        <v>1417.96</v>
      </c>
      <c r="G637" s="94">
        <f t="shared" si="28"/>
        <v>-1.9601606847771125E-2</v>
      </c>
      <c r="J637" s="264">
        <v>299.97000000000003</v>
      </c>
      <c r="K637" s="94">
        <f t="shared" si="29"/>
        <v>2.291560102301804E-2</v>
      </c>
    </row>
    <row r="638" spans="2:11" x14ac:dyDescent="0.25">
      <c r="B638" s="263">
        <v>45336</v>
      </c>
      <c r="C638" s="162">
        <v>5000.62</v>
      </c>
      <c r="D638" s="94">
        <f t="shared" si="27"/>
        <v>9.5797236921002504E-3</v>
      </c>
      <c r="F638" s="161">
        <v>1432.44</v>
      </c>
      <c r="G638" s="94">
        <f t="shared" si="28"/>
        <v>1.0211853648903979E-2</v>
      </c>
      <c r="J638" s="264">
        <v>307.73</v>
      </c>
      <c r="K638" s="94">
        <f t="shared" si="29"/>
        <v>2.5869253592025743E-2</v>
      </c>
    </row>
    <row r="639" spans="2:11" x14ac:dyDescent="0.25">
      <c r="B639" s="263">
        <v>45337</v>
      </c>
      <c r="C639" s="162">
        <v>5029.7299999999996</v>
      </c>
      <c r="D639" s="94">
        <f t="shared" si="27"/>
        <v>5.8212781615079034E-3</v>
      </c>
      <c r="F639" s="161">
        <v>1445.11</v>
      </c>
      <c r="G639" s="94">
        <f t="shared" si="28"/>
        <v>8.845047611069079E-3</v>
      </c>
      <c r="J639" s="264">
        <v>315.14999999999998</v>
      </c>
      <c r="K639" s="94">
        <f t="shared" si="29"/>
        <v>2.4112046274331167E-2</v>
      </c>
    </row>
    <row r="640" spans="2:11" x14ac:dyDescent="0.25">
      <c r="B640" s="263">
        <v>45338</v>
      </c>
      <c r="C640" s="162">
        <v>5005.57</v>
      </c>
      <c r="D640" s="94">
        <f t="shared" si="27"/>
        <v>-4.8034387531735723E-3</v>
      </c>
      <c r="F640" s="161">
        <v>1439.11</v>
      </c>
      <c r="G640" s="94">
        <f t="shared" si="28"/>
        <v>-4.1519330708389424E-3</v>
      </c>
      <c r="J640" s="264">
        <v>319.26</v>
      </c>
      <c r="K640" s="94">
        <f t="shared" si="29"/>
        <v>1.304140885292715E-2</v>
      </c>
    </row>
    <row r="641" spans="2:11" x14ac:dyDescent="0.25">
      <c r="B641" s="263">
        <v>45342</v>
      </c>
      <c r="C641" s="162">
        <v>4975.51</v>
      </c>
      <c r="D641" s="94">
        <f t="shared" si="27"/>
        <v>-6.0053100845657292E-3</v>
      </c>
      <c r="F641" s="161">
        <v>1424.65</v>
      </c>
      <c r="G641" s="94">
        <f t="shared" si="28"/>
        <v>-1.004787681275221E-2</v>
      </c>
      <c r="J641" s="264">
        <v>324.47000000000003</v>
      </c>
      <c r="K641" s="94">
        <f t="shared" si="29"/>
        <v>1.6318987658961559E-2</v>
      </c>
    </row>
    <row r="642" spans="2:11" x14ac:dyDescent="0.25">
      <c r="B642" s="263">
        <v>45343</v>
      </c>
      <c r="C642" s="162">
        <v>4981.8</v>
      </c>
      <c r="D642" s="94">
        <f t="shared" si="27"/>
        <v>1.2641920124771833E-3</v>
      </c>
      <c r="F642" s="161">
        <v>1434.95</v>
      </c>
      <c r="G642" s="94">
        <f t="shared" si="28"/>
        <v>7.2298459270698778E-3</v>
      </c>
      <c r="J642" s="264">
        <v>310.32</v>
      </c>
      <c r="K642" s="94">
        <f t="shared" si="29"/>
        <v>-4.360957869756843E-2</v>
      </c>
    </row>
    <row r="643" spans="2:11" x14ac:dyDescent="0.25">
      <c r="B643" s="263">
        <v>45344</v>
      </c>
      <c r="C643" s="162">
        <v>5087.03</v>
      </c>
      <c r="D643" s="94">
        <f t="shared" si="27"/>
        <v>2.1122887309807714E-2</v>
      </c>
      <c r="F643" s="161">
        <v>1466.32</v>
      </c>
      <c r="G643" s="94">
        <f t="shared" si="28"/>
        <v>2.1861388898567924E-2</v>
      </c>
      <c r="J643" s="264">
        <v>334.05</v>
      </c>
      <c r="K643" s="94">
        <f t="shared" si="29"/>
        <v>7.64694508894046E-2</v>
      </c>
    </row>
    <row r="644" spans="2:11" x14ac:dyDescent="0.25">
      <c r="B644" s="263">
        <v>45345</v>
      </c>
      <c r="C644" s="162">
        <v>5088.8</v>
      </c>
      <c r="D644" s="94">
        <f t="shared" si="27"/>
        <v>3.4794369209545373E-4</v>
      </c>
      <c r="F644" s="161">
        <v>1461.27</v>
      </c>
      <c r="G644" s="94">
        <f t="shared" si="28"/>
        <v>-3.4439958535653625E-3</v>
      </c>
      <c r="J644" s="264">
        <v>338.83</v>
      </c>
      <c r="K644" s="94">
        <f t="shared" si="29"/>
        <v>1.4309235144439381E-2</v>
      </c>
    </row>
    <row r="645" spans="2:11" x14ac:dyDescent="0.25">
      <c r="B645" s="263">
        <v>45348</v>
      </c>
      <c r="C645" s="162">
        <v>5069.53</v>
      </c>
      <c r="D645" s="94">
        <f t="shared" si="27"/>
        <v>-3.7867473667663187E-3</v>
      </c>
      <c r="F645" s="161">
        <v>1464.59</v>
      </c>
      <c r="G645" s="94">
        <f t="shared" si="28"/>
        <v>2.2719962772108637E-3</v>
      </c>
      <c r="J645" s="264">
        <v>349.46</v>
      </c>
      <c r="K645" s="94">
        <f t="shared" si="29"/>
        <v>3.1372664758138269E-2</v>
      </c>
    </row>
    <row r="646" spans="2:11" x14ac:dyDescent="0.25">
      <c r="B646" s="263">
        <v>45349</v>
      </c>
      <c r="C646" s="162">
        <v>5078.18</v>
      </c>
      <c r="D646" s="94">
        <f t="shared" si="27"/>
        <v>1.7062725735916828E-3</v>
      </c>
      <c r="F646" s="161">
        <v>1467.35</v>
      </c>
      <c r="G646" s="94">
        <f t="shared" si="28"/>
        <v>1.8844864433049668E-3</v>
      </c>
      <c r="J646" s="264">
        <v>339.01</v>
      </c>
      <c r="K646" s="94">
        <f t="shared" si="29"/>
        <v>-2.9903279345275591E-2</v>
      </c>
    </row>
    <row r="647" spans="2:11" x14ac:dyDescent="0.25">
      <c r="B647" s="263">
        <v>45350</v>
      </c>
      <c r="C647" s="162">
        <v>5069.76</v>
      </c>
      <c r="D647" s="94">
        <f t="shared" si="27"/>
        <v>-1.6580743494716277E-3</v>
      </c>
      <c r="F647" s="161">
        <v>1472.04</v>
      </c>
      <c r="G647" s="94">
        <f t="shared" si="28"/>
        <v>3.196238116332184E-3</v>
      </c>
      <c r="J647" s="264">
        <v>346.52</v>
      </c>
      <c r="K647" s="94">
        <f t="shared" si="29"/>
        <v>2.2152738857260879E-2</v>
      </c>
    </row>
    <row r="648" spans="2:11" x14ac:dyDescent="0.25">
      <c r="B648" s="263">
        <v>45351</v>
      </c>
      <c r="C648" s="162">
        <v>5096.2700000000004</v>
      </c>
      <c r="D648" s="94">
        <f t="shared" si="27"/>
        <v>5.229044372909275E-3</v>
      </c>
      <c r="F648" s="161">
        <v>1485.31</v>
      </c>
      <c r="G648" s="94">
        <f t="shared" si="28"/>
        <v>9.0147006874812252E-3</v>
      </c>
      <c r="J648" s="264">
        <v>351.05</v>
      </c>
      <c r="K648" s="94">
        <f t="shared" si="29"/>
        <v>1.307283850859986E-2</v>
      </c>
    </row>
    <row r="649" spans="2:11" x14ac:dyDescent="0.25">
      <c r="B649" s="263">
        <v>45352</v>
      </c>
      <c r="C649" s="162">
        <v>5137.08</v>
      </c>
      <c r="D649" s="94">
        <f t="shared" ref="D649:D712" si="30">C649/C648-1</f>
        <v>8.0078174821975878E-3</v>
      </c>
      <c r="F649" s="161">
        <v>1491.02</v>
      </c>
      <c r="G649" s="94">
        <f t="shared" ref="G649:G712" si="31">F649/F648-1</f>
        <v>3.8443153281133569E-3</v>
      </c>
      <c r="J649" s="264">
        <v>366.28</v>
      </c>
      <c r="K649" s="94">
        <f t="shared" si="29"/>
        <v>4.3384133314342543E-2</v>
      </c>
    </row>
    <row r="650" spans="2:11" x14ac:dyDescent="0.25">
      <c r="B650" s="263">
        <v>45355</v>
      </c>
      <c r="C650" s="162">
        <v>5130.95</v>
      </c>
      <c r="D650" s="94">
        <f t="shared" si="30"/>
        <v>-1.1932849011501157E-3</v>
      </c>
      <c r="F650" s="161">
        <v>1472.03</v>
      </c>
      <c r="G650" s="94">
        <f t="shared" si="31"/>
        <v>-1.2736247669380751E-2</v>
      </c>
      <c r="J650" s="264">
        <v>366.51</v>
      </c>
      <c r="K650" s="94">
        <f t="shared" ref="K650:K713" si="32">J650/J649-1</f>
        <v>6.279349131812495E-4</v>
      </c>
    </row>
    <row r="651" spans="2:11" x14ac:dyDescent="0.25">
      <c r="B651" s="263">
        <v>45356</v>
      </c>
      <c r="C651" s="162">
        <v>5078.6499999999996</v>
      </c>
      <c r="D651" s="94">
        <f t="shared" si="30"/>
        <v>-1.0193044173106403E-2</v>
      </c>
      <c r="F651" s="161">
        <v>1452.75</v>
      </c>
      <c r="G651" s="94">
        <f t="shared" si="31"/>
        <v>-1.3097559153006366E-2</v>
      </c>
      <c r="J651" s="264">
        <v>364.94</v>
      </c>
      <c r="K651" s="94">
        <f t="shared" si="32"/>
        <v>-4.2836484679817932E-3</v>
      </c>
    </row>
    <row r="652" spans="2:11" x14ac:dyDescent="0.25">
      <c r="B652" s="263">
        <v>45357</v>
      </c>
      <c r="C652" s="162">
        <v>5104.76</v>
      </c>
      <c r="D652" s="94">
        <f t="shared" si="30"/>
        <v>5.1411300247115044E-3</v>
      </c>
      <c r="F652" s="161">
        <v>1447.08</v>
      </c>
      <c r="G652" s="94">
        <f t="shared" si="31"/>
        <v>-3.902942694889E-3</v>
      </c>
      <c r="J652" s="264">
        <v>369.39</v>
      </c>
      <c r="K652" s="94">
        <f t="shared" si="32"/>
        <v>1.2193785279771996E-2</v>
      </c>
    </row>
    <row r="653" spans="2:11" x14ac:dyDescent="0.25">
      <c r="B653" s="263">
        <v>45358</v>
      </c>
      <c r="C653" s="162">
        <v>5157.3599999999997</v>
      </c>
      <c r="D653" s="94">
        <f t="shared" si="30"/>
        <v>1.0304108322428451E-2</v>
      </c>
      <c r="F653" s="161">
        <v>1459.66</v>
      </c>
      <c r="G653" s="94">
        <f t="shared" si="31"/>
        <v>8.6933687149295391E-3</v>
      </c>
      <c r="J653" s="264">
        <v>370.76</v>
      </c>
      <c r="K653" s="94">
        <f t="shared" si="32"/>
        <v>3.7088172392323315E-3</v>
      </c>
    </row>
    <row r="654" spans="2:11" x14ac:dyDescent="0.25">
      <c r="B654" s="263">
        <v>45359</v>
      </c>
      <c r="C654" s="162">
        <v>5123.6899999999996</v>
      </c>
      <c r="D654" s="94">
        <f t="shared" si="30"/>
        <v>-6.5285339786247398E-3</v>
      </c>
      <c r="F654" s="161">
        <v>1452.39</v>
      </c>
      <c r="G654" s="94">
        <f t="shared" si="31"/>
        <v>-4.9806119233245516E-3</v>
      </c>
      <c r="J654" s="264">
        <v>353.99</v>
      </c>
      <c r="K654" s="94">
        <f t="shared" si="32"/>
        <v>-4.5231416549789571E-2</v>
      </c>
    </row>
    <row r="655" spans="2:11" x14ac:dyDescent="0.25">
      <c r="B655" s="263">
        <v>45362</v>
      </c>
      <c r="C655" s="162">
        <v>5117.9399999999996</v>
      </c>
      <c r="D655" s="94">
        <f t="shared" si="30"/>
        <v>-1.1222380745127269E-3</v>
      </c>
      <c r="F655" s="161">
        <v>1445.24</v>
      </c>
      <c r="G655" s="94">
        <f t="shared" si="31"/>
        <v>-4.9229201523007804E-3</v>
      </c>
      <c r="J655" s="264">
        <v>334.22</v>
      </c>
      <c r="K655" s="94">
        <f t="shared" si="32"/>
        <v>-5.5849035283482507E-2</v>
      </c>
    </row>
    <row r="656" spans="2:11" x14ac:dyDescent="0.25">
      <c r="B656" s="263">
        <v>45363</v>
      </c>
      <c r="C656" s="162">
        <v>5175.2700000000004</v>
      </c>
      <c r="D656" s="94">
        <f t="shared" si="30"/>
        <v>1.1201772588189884E-2</v>
      </c>
      <c r="F656" s="161">
        <v>1459.59</v>
      </c>
      <c r="G656" s="94">
        <f t="shared" si="31"/>
        <v>9.9291467161162217E-3</v>
      </c>
      <c r="J656" s="264">
        <v>349.57</v>
      </c>
      <c r="K656" s="94">
        <f t="shared" si="32"/>
        <v>4.5927831966967814E-2</v>
      </c>
    </row>
    <row r="657" spans="2:11" x14ac:dyDescent="0.25">
      <c r="B657" s="263">
        <v>45364</v>
      </c>
      <c r="C657" s="162">
        <v>5165.3100000000004</v>
      </c>
      <c r="D657" s="94">
        <f t="shared" si="30"/>
        <v>-1.9245372705192221E-3</v>
      </c>
      <c r="F657" s="161">
        <v>1458.03</v>
      </c>
      <c r="G657" s="94">
        <f t="shared" si="31"/>
        <v>-1.0687932912666342E-3</v>
      </c>
      <c r="J657" s="264">
        <v>344.26</v>
      </c>
      <c r="K657" s="94">
        <f t="shared" si="32"/>
        <v>-1.5190090682838941E-2</v>
      </c>
    </row>
    <row r="658" spans="2:11" x14ac:dyDescent="0.25">
      <c r="B658" s="263">
        <v>45365</v>
      </c>
      <c r="C658" s="162">
        <v>5150.4799999999996</v>
      </c>
      <c r="D658" s="94">
        <f t="shared" si="30"/>
        <v>-2.871076469757039E-3</v>
      </c>
      <c r="F658" s="161">
        <v>1451.69</v>
      </c>
      <c r="G658" s="94">
        <f t="shared" si="31"/>
        <v>-4.3483330246976148E-3</v>
      </c>
      <c r="J658" s="264">
        <v>350.19</v>
      </c>
      <c r="K658" s="94">
        <f t="shared" si="32"/>
        <v>1.7225352930924309E-2</v>
      </c>
    </row>
    <row r="659" spans="2:11" x14ac:dyDescent="0.25">
      <c r="B659" s="263">
        <v>45366</v>
      </c>
      <c r="C659" s="162">
        <v>5117.09</v>
      </c>
      <c r="D659" s="94">
        <f t="shared" si="30"/>
        <v>-6.4828909150214109E-3</v>
      </c>
      <c r="F659" s="161">
        <v>1435.1</v>
      </c>
      <c r="G659" s="94">
        <f t="shared" si="31"/>
        <v>-1.1428059709717719E-2</v>
      </c>
      <c r="J659" s="264">
        <v>347.65</v>
      </c>
      <c r="K659" s="94">
        <f t="shared" si="32"/>
        <v>-7.2532054027814041E-3</v>
      </c>
    </row>
    <row r="660" spans="2:11" x14ac:dyDescent="0.25">
      <c r="B660" s="263">
        <v>45369</v>
      </c>
      <c r="C660" s="162">
        <v>5149.42</v>
      </c>
      <c r="D660" s="94">
        <f t="shared" si="30"/>
        <v>6.3180440445644859E-3</v>
      </c>
      <c r="F660" s="161">
        <v>1443.98</v>
      </c>
      <c r="G660" s="94">
        <f t="shared" si="31"/>
        <v>6.1877221099575497E-3</v>
      </c>
      <c r="J660" s="264">
        <v>339.55</v>
      </c>
      <c r="K660" s="94">
        <f t="shared" si="32"/>
        <v>-2.3299295268229492E-2</v>
      </c>
    </row>
    <row r="661" spans="2:11" x14ac:dyDescent="0.25">
      <c r="B661" s="263">
        <v>45370</v>
      </c>
      <c r="C661" s="162">
        <v>5178.51</v>
      </c>
      <c r="D661" s="94">
        <f t="shared" si="30"/>
        <v>5.6491799076401339E-3</v>
      </c>
      <c r="F661" s="161">
        <v>1456.42</v>
      </c>
      <c r="G661" s="94">
        <f t="shared" si="31"/>
        <v>8.6150777711602178E-3</v>
      </c>
      <c r="J661" s="264">
        <v>340.49</v>
      </c>
      <c r="K661" s="94">
        <f t="shared" si="32"/>
        <v>2.7683699013401064E-3</v>
      </c>
    </row>
    <row r="662" spans="2:11" x14ac:dyDescent="0.25">
      <c r="B662" s="263">
        <v>45371</v>
      </c>
      <c r="C662" s="162">
        <v>5224.62</v>
      </c>
      <c r="D662" s="94">
        <f t="shared" si="30"/>
        <v>8.9041056211149883E-3</v>
      </c>
      <c r="F662" s="161">
        <v>1477.59</v>
      </c>
      <c r="G662" s="94">
        <f t="shared" si="31"/>
        <v>1.4535642191126019E-2</v>
      </c>
      <c r="J662" s="264">
        <v>348.23</v>
      </c>
      <c r="K662" s="94">
        <f t="shared" si="32"/>
        <v>2.2731945137889564E-2</v>
      </c>
    </row>
    <row r="663" spans="2:11" x14ac:dyDescent="0.25">
      <c r="B663" s="263">
        <v>45372</v>
      </c>
      <c r="C663" s="162">
        <v>5241.53</v>
      </c>
      <c r="D663" s="94">
        <f t="shared" si="30"/>
        <v>3.2365990253835353E-3</v>
      </c>
      <c r="F663" s="161">
        <v>1484.43</v>
      </c>
      <c r="G663" s="94">
        <f t="shared" si="31"/>
        <v>4.6291596450978023E-3</v>
      </c>
      <c r="J663" s="264">
        <v>348.01</v>
      </c>
      <c r="K663" s="94">
        <f t="shared" si="32"/>
        <v>-6.3176636131301311E-4</v>
      </c>
    </row>
    <row r="664" spans="2:11" x14ac:dyDescent="0.25">
      <c r="B664" s="263">
        <v>45373</v>
      </c>
      <c r="C664" s="162">
        <v>5234.18</v>
      </c>
      <c r="D664" s="94">
        <f t="shared" si="30"/>
        <v>-1.4022623165372838E-3</v>
      </c>
      <c r="F664" s="161">
        <v>1475.13</v>
      </c>
      <c r="G664" s="94">
        <f t="shared" si="31"/>
        <v>-6.2650310220083716E-3</v>
      </c>
      <c r="J664" s="264">
        <v>356.3</v>
      </c>
      <c r="K664" s="94">
        <f t="shared" si="32"/>
        <v>2.3821154564524161E-2</v>
      </c>
    </row>
    <row r="665" spans="2:11" x14ac:dyDescent="0.25">
      <c r="B665" s="263">
        <v>45376</v>
      </c>
      <c r="C665" s="162">
        <v>5218.1899999999996</v>
      </c>
      <c r="D665" s="94">
        <f t="shared" si="30"/>
        <v>-3.0549197773100945E-3</v>
      </c>
      <c r="F665" s="161">
        <v>1471.97</v>
      </c>
      <c r="G665" s="94">
        <f t="shared" si="31"/>
        <v>-2.1421840786913782E-3</v>
      </c>
      <c r="J665" s="264">
        <v>361.23</v>
      </c>
      <c r="K665" s="94">
        <f t="shared" si="32"/>
        <v>1.3836654504630896E-2</v>
      </c>
    </row>
    <row r="666" spans="2:11" x14ac:dyDescent="0.25">
      <c r="B666" s="263">
        <v>45377</v>
      </c>
      <c r="C666" s="162">
        <v>5203.58</v>
      </c>
      <c r="D666" s="94">
        <f t="shared" si="30"/>
        <v>-2.7998213940082506E-3</v>
      </c>
      <c r="F666" s="161">
        <v>1471.29</v>
      </c>
      <c r="G666" s="94">
        <f t="shared" si="31"/>
        <v>-4.6196593680580822E-4</v>
      </c>
      <c r="J666" s="264">
        <v>368</v>
      </c>
      <c r="K666" s="94">
        <f t="shared" si="32"/>
        <v>1.8741522021980428E-2</v>
      </c>
    </row>
    <row r="667" spans="2:11" x14ac:dyDescent="0.25">
      <c r="B667" s="263">
        <v>45378</v>
      </c>
      <c r="C667" s="162">
        <v>5248.49</v>
      </c>
      <c r="D667" s="94">
        <f t="shared" si="30"/>
        <v>8.6305966277062662E-3</v>
      </c>
      <c r="F667" s="161">
        <v>1487.53</v>
      </c>
      <c r="G667" s="94">
        <f t="shared" si="31"/>
        <v>1.1037932698516384E-2</v>
      </c>
      <c r="J667" s="264">
        <v>365.88</v>
      </c>
      <c r="K667" s="94">
        <f t="shared" si="32"/>
        <v>-5.7608695652173747E-3</v>
      </c>
    </row>
    <row r="668" spans="2:11" x14ac:dyDescent="0.25">
      <c r="B668" s="263">
        <v>45379</v>
      </c>
      <c r="C668" s="162">
        <v>5254.35</v>
      </c>
      <c r="D668" s="94">
        <f t="shared" si="30"/>
        <v>1.1165116061955249E-3</v>
      </c>
      <c r="F668" s="161">
        <v>1485.49</v>
      </c>
      <c r="G668" s="94">
        <f t="shared" si="31"/>
        <v>-1.37140091292276E-3</v>
      </c>
      <c r="J668" s="264">
        <v>366.4</v>
      </c>
      <c r="K668" s="94">
        <f t="shared" si="32"/>
        <v>1.4212310047010401E-3</v>
      </c>
    </row>
    <row r="669" spans="2:11" x14ac:dyDescent="0.25">
      <c r="B669" s="263">
        <v>45383</v>
      </c>
      <c r="C669" s="162">
        <v>5243.77</v>
      </c>
      <c r="D669" s="94">
        <f t="shared" si="30"/>
        <v>-2.0135697089078697E-3</v>
      </c>
      <c r="F669" s="161">
        <v>1476.47</v>
      </c>
      <c r="G669" s="94">
        <f t="shared" si="31"/>
        <v>-6.0720704952574867E-3</v>
      </c>
      <c r="J669" s="264">
        <v>367.8</v>
      </c>
      <c r="K669" s="94">
        <f t="shared" si="32"/>
        <v>3.8209606986900901E-3</v>
      </c>
    </row>
    <row r="670" spans="2:11" x14ac:dyDescent="0.25">
      <c r="B670" s="263">
        <v>45384</v>
      </c>
      <c r="C670" s="162">
        <v>5205.8100000000004</v>
      </c>
      <c r="D670" s="94">
        <f t="shared" si="30"/>
        <v>-7.2390665494481699E-3</v>
      </c>
      <c r="F670" s="161">
        <v>1457.63</v>
      </c>
      <c r="G670" s="94">
        <f t="shared" si="31"/>
        <v>-1.2760164446280586E-2</v>
      </c>
      <c r="J670" s="264">
        <v>359.88</v>
      </c>
      <c r="K670" s="94">
        <f t="shared" si="32"/>
        <v>-2.1533442088091381E-2</v>
      </c>
    </row>
    <row r="671" spans="2:11" x14ac:dyDescent="0.25">
      <c r="B671" s="263">
        <v>45385</v>
      </c>
      <c r="C671" s="162">
        <v>5211.49</v>
      </c>
      <c r="D671" s="94">
        <f t="shared" si="30"/>
        <v>1.0910886106099138E-3</v>
      </c>
      <c r="F671" s="161">
        <v>1460.8</v>
      </c>
      <c r="G671" s="94">
        <f t="shared" si="31"/>
        <v>2.1747631429098746E-3</v>
      </c>
      <c r="J671" s="264">
        <v>370.41</v>
      </c>
      <c r="K671" s="94">
        <f t="shared" si="32"/>
        <v>2.9259753251083875E-2</v>
      </c>
    </row>
    <row r="672" spans="2:11" x14ac:dyDescent="0.25">
      <c r="B672" s="263">
        <v>45386</v>
      </c>
      <c r="C672" s="162">
        <v>5147.21</v>
      </c>
      <c r="D672" s="94">
        <f t="shared" si="30"/>
        <v>-1.2334284436888443E-2</v>
      </c>
      <c r="F672" s="161">
        <v>1443.88</v>
      </c>
      <c r="G672" s="94">
        <f t="shared" si="31"/>
        <v>-1.1582694414019601E-2</v>
      </c>
      <c r="J672" s="264">
        <v>350.9</v>
      </c>
      <c r="K672" s="94">
        <f t="shared" si="32"/>
        <v>-5.2671364164034618E-2</v>
      </c>
    </row>
    <row r="673" spans="2:11" x14ac:dyDescent="0.25">
      <c r="B673" s="263">
        <v>45387</v>
      </c>
      <c r="C673" s="162">
        <v>5204.34</v>
      </c>
      <c r="D673" s="94">
        <f t="shared" si="30"/>
        <v>1.1099216857287653E-2</v>
      </c>
      <c r="F673" s="161">
        <v>1457.52</v>
      </c>
      <c r="G673" s="94">
        <f t="shared" si="31"/>
        <v>9.4467684295092003E-3</v>
      </c>
      <c r="J673" s="264">
        <v>350.43</v>
      </c>
      <c r="K673" s="94">
        <f t="shared" si="32"/>
        <v>-1.3394129381589792E-3</v>
      </c>
    </row>
    <row r="674" spans="2:11" x14ac:dyDescent="0.25">
      <c r="B674" s="263">
        <v>45390</v>
      </c>
      <c r="C674" s="162">
        <v>5202.3900000000003</v>
      </c>
      <c r="D674" s="94">
        <f t="shared" si="30"/>
        <v>-3.7468728023148934E-4</v>
      </c>
      <c r="F674" s="161">
        <v>1468.41</v>
      </c>
      <c r="G674" s="94">
        <f t="shared" si="31"/>
        <v>7.4715955870245931E-3</v>
      </c>
      <c r="J674" s="264">
        <v>363.32</v>
      </c>
      <c r="K674" s="94">
        <f t="shared" si="32"/>
        <v>3.6783380418343059E-2</v>
      </c>
    </row>
    <row r="675" spans="2:11" x14ac:dyDescent="0.25">
      <c r="B675" s="263">
        <v>45391</v>
      </c>
      <c r="C675" s="162">
        <v>5209.91</v>
      </c>
      <c r="D675" s="94">
        <f t="shared" si="30"/>
        <v>1.4454894769517779E-3</v>
      </c>
      <c r="F675" s="161">
        <v>1475.21</v>
      </c>
      <c r="G675" s="94">
        <f t="shared" si="31"/>
        <v>4.6308592286894434E-3</v>
      </c>
      <c r="J675" s="264">
        <v>354.32</v>
      </c>
      <c r="K675" s="94">
        <f t="shared" si="32"/>
        <v>-2.4771551249587187E-2</v>
      </c>
    </row>
    <row r="676" spans="2:11" x14ac:dyDescent="0.25">
      <c r="B676" s="263">
        <v>45392</v>
      </c>
      <c r="C676" s="162">
        <v>5160.6400000000003</v>
      </c>
      <c r="D676" s="94">
        <f t="shared" si="30"/>
        <v>-9.4569771838668437E-3</v>
      </c>
      <c r="F676" s="161">
        <v>1457.61</v>
      </c>
      <c r="G676" s="94">
        <f t="shared" si="31"/>
        <v>-1.1930504809484876E-2</v>
      </c>
      <c r="J676" s="264">
        <v>360.05</v>
      </c>
      <c r="K676" s="94">
        <f t="shared" si="32"/>
        <v>1.6171822081734177E-2</v>
      </c>
    </row>
    <row r="677" spans="2:11" x14ac:dyDescent="0.25">
      <c r="B677" s="263">
        <v>45393</v>
      </c>
      <c r="C677" s="162">
        <v>5199.0600000000004</v>
      </c>
      <c r="D677" s="94">
        <f t="shared" si="30"/>
        <v>7.4448130464439544E-3</v>
      </c>
      <c r="F677" s="161">
        <v>1471.25</v>
      </c>
      <c r="G677" s="94">
        <f t="shared" si="31"/>
        <v>9.3577843181646969E-3</v>
      </c>
      <c r="J677" s="264">
        <v>366.95</v>
      </c>
      <c r="K677" s="94">
        <f t="shared" si="32"/>
        <v>1.9164004999305595E-2</v>
      </c>
    </row>
    <row r="678" spans="2:11" x14ac:dyDescent="0.25">
      <c r="B678" s="263">
        <v>45394</v>
      </c>
      <c r="C678" s="162">
        <v>5123.41</v>
      </c>
      <c r="D678" s="94">
        <f t="shared" si="30"/>
        <v>-1.4550707243232486E-2</v>
      </c>
      <c r="F678" s="161">
        <v>1447.58</v>
      </c>
      <c r="G678" s="94">
        <f t="shared" si="31"/>
        <v>-1.6088360237892951E-2</v>
      </c>
      <c r="J678" s="264">
        <v>365.15</v>
      </c>
      <c r="K678" s="94">
        <f t="shared" si="32"/>
        <v>-4.9053004496525388E-3</v>
      </c>
    </row>
    <row r="679" spans="2:11" x14ac:dyDescent="0.25">
      <c r="B679" s="263">
        <v>45397</v>
      </c>
      <c r="C679" s="162">
        <v>5061.82</v>
      </c>
      <c r="D679" s="94">
        <f t="shared" si="30"/>
        <v>-1.2021290507689297E-2</v>
      </c>
      <c r="F679" s="161">
        <v>1424.15</v>
      </c>
      <c r="G679" s="94">
        <f t="shared" si="31"/>
        <v>-1.6185633954599932E-2</v>
      </c>
      <c r="J679" s="264">
        <v>358.85</v>
      </c>
      <c r="K679" s="94">
        <f t="shared" si="32"/>
        <v>-1.7253183623168411E-2</v>
      </c>
    </row>
    <row r="680" spans="2:11" x14ac:dyDescent="0.25">
      <c r="B680" s="263">
        <v>45398</v>
      </c>
      <c r="C680" s="162">
        <v>5051.41</v>
      </c>
      <c r="D680" s="94">
        <f t="shared" si="30"/>
        <v>-2.056572537150636E-3</v>
      </c>
      <c r="F680" s="161">
        <v>1416.78</v>
      </c>
      <c r="G680" s="94">
        <f t="shared" si="31"/>
        <v>-5.1750166766142414E-3</v>
      </c>
      <c r="J680" s="264">
        <v>370.67</v>
      </c>
      <c r="K680" s="94">
        <f t="shared" si="32"/>
        <v>3.2938553713250718E-2</v>
      </c>
    </row>
    <row r="681" spans="2:11" x14ac:dyDescent="0.25">
      <c r="B681" s="263">
        <v>45399</v>
      </c>
      <c r="C681" s="162">
        <v>5022.21</v>
      </c>
      <c r="D681" s="94">
        <f t="shared" si="30"/>
        <v>-5.780564238499708E-3</v>
      </c>
      <c r="F681" s="161">
        <v>1408.76</v>
      </c>
      <c r="G681" s="94">
        <f t="shared" si="31"/>
        <v>-5.6607236126992033E-3</v>
      </c>
      <c r="J681" s="264">
        <v>359.57</v>
      </c>
      <c r="K681" s="94">
        <f t="shared" si="32"/>
        <v>-2.994577386894004E-2</v>
      </c>
    </row>
    <row r="682" spans="2:11" x14ac:dyDescent="0.25">
      <c r="B682" s="263">
        <v>45400</v>
      </c>
      <c r="C682" s="162">
        <v>5011.12</v>
      </c>
      <c r="D682" s="94">
        <f t="shared" si="30"/>
        <v>-2.2081912146246774E-3</v>
      </c>
      <c r="F682" s="161">
        <v>1398.81</v>
      </c>
      <c r="G682" s="94">
        <f t="shared" si="31"/>
        <v>-7.0629489764048037E-3</v>
      </c>
      <c r="J682" s="264">
        <v>356.4</v>
      </c>
      <c r="K682" s="94">
        <f t="shared" si="32"/>
        <v>-8.8160858803570941E-3</v>
      </c>
    </row>
    <row r="683" spans="2:11" x14ac:dyDescent="0.25">
      <c r="B683" s="263">
        <v>45401</v>
      </c>
      <c r="C683" s="162">
        <v>4967.2299999999996</v>
      </c>
      <c r="D683" s="94">
        <f t="shared" si="30"/>
        <v>-8.7585210491867294E-3</v>
      </c>
      <c r="F683" s="161">
        <v>1382.14</v>
      </c>
      <c r="G683" s="94">
        <f t="shared" si="31"/>
        <v>-1.1917272538800705E-2</v>
      </c>
      <c r="J683" s="264">
        <v>347.37</v>
      </c>
      <c r="K683" s="94">
        <f t="shared" si="32"/>
        <v>-2.5336700336700213E-2</v>
      </c>
    </row>
    <row r="684" spans="2:11" x14ac:dyDescent="0.25">
      <c r="B684" s="263">
        <v>45404</v>
      </c>
      <c r="C684" s="162">
        <v>5010.6000000000004</v>
      </c>
      <c r="D684" s="94">
        <f t="shared" si="30"/>
        <v>8.7312244450128418E-3</v>
      </c>
      <c r="F684" s="161">
        <v>1391.28</v>
      </c>
      <c r="G684" s="94">
        <f t="shared" si="31"/>
        <v>6.6129335667877154E-3</v>
      </c>
      <c r="J684" s="264">
        <v>354.75</v>
      </c>
      <c r="K684" s="94">
        <f t="shared" si="32"/>
        <v>2.1245357975645529E-2</v>
      </c>
    </row>
    <row r="685" spans="2:11" x14ac:dyDescent="0.25">
      <c r="B685" s="263">
        <v>45405</v>
      </c>
      <c r="C685" s="162">
        <v>5070.55</v>
      </c>
      <c r="D685" s="94">
        <f t="shared" si="30"/>
        <v>1.1964634973855359E-2</v>
      </c>
      <c r="F685" s="161">
        <v>1407.74</v>
      </c>
      <c r="G685" s="94">
        <f t="shared" si="31"/>
        <v>1.1830832039560812E-2</v>
      </c>
      <c r="J685" s="264">
        <v>364.73</v>
      </c>
      <c r="K685" s="94">
        <f t="shared" si="32"/>
        <v>2.813248766737142E-2</v>
      </c>
    </row>
    <row r="686" spans="2:11" x14ac:dyDescent="0.25">
      <c r="B686" s="263">
        <v>45406</v>
      </c>
      <c r="C686" s="162">
        <v>5071.63</v>
      </c>
      <c r="D686" s="94">
        <f t="shared" si="30"/>
        <v>2.129946455513565E-4</v>
      </c>
      <c r="F686" s="161">
        <v>1414.72</v>
      </c>
      <c r="G686" s="94">
        <f t="shared" si="31"/>
        <v>4.9583019591685762E-3</v>
      </c>
      <c r="J686" s="264">
        <v>362.74</v>
      </c>
      <c r="K686" s="94">
        <f t="shared" si="32"/>
        <v>-5.4560908068982394E-3</v>
      </c>
    </row>
    <row r="687" spans="2:11" x14ac:dyDescent="0.25">
      <c r="B687" s="263">
        <v>45407</v>
      </c>
      <c r="C687" s="162">
        <v>5048.42</v>
      </c>
      <c r="D687" s="94">
        <f t="shared" si="30"/>
        <v>-4.5764379499293462E-3</v>
      </c>
      <c r="F687" s="161">
        <v>1411.9</v>
      </c>
      <c r="G687" s="94">
        <f t="shared" si="31"/>
        <v>-1.9933273015154684E-3</v>
      </c>
      <c r="J687" s="264">
        <v>369.9</v>
      </c>
      <c r="K687" s="94">
        <f t="shared" si="32"/>
        <v>1.973865578651357E-2</v>
      </c>
    </row>
    <row r="688" spans="2:11" x14ac:dyDescent="0.25">
      <c r="B688" s="263">
        <v>45408</v>
      </c>
      <c r="C688" s="162">
        <v>5099.96</v>
      </c>
      <c r="D688" s="94">
        <f t="shared" si="30"/>
        <v>1.0209134739185721E-2</v>
      </c>
      <c r="F688" s="161">
        <v>1430.49</v>
      </c>
      <c r="G688" s="94">
        <f t="shared" si="31"/>
        <v>1.3166654862242222E-2</v>
      </c>
      <c r="J688" s="264">
        <v>382.56</v>
      </c>
      <c r="K688" s="94">
        <f t="shared" si="32"/>
        <v>3.4225466342254762E-2</v>
      </c>
    </row>
    <row r="689" spans="2:11" x14ac:dyDescent="0.25">
      <c r="B689" s="263">
        <v>45411</v>
      </c>
      <c r="C689" s="162">
        <v>5116.17</v>
      </c>
      <c r="D689" s="94">
        <f t="shared" si="30"/>
        <v>3.178456301617949E-3</v>
      </c>
      <c r="F689" s="161">
        <v>1459.57</v>
      </c>
      <c r="G689" s="94">
        <f t="shared" si="31"/>
        <v>2.0328698557836811E-2</v>
      </c>
      <c r="J689" s="264">
        <v>384.82</v>
      </c>
      <c r="K689" s="94">
        <f t="shared" si="32"/>
        <v>5.9075700543704812E-3</v>
      </c>
    </row>
    <row r="690" spans="2:11" x14ac:dyDescent="0.25">
      <c r="B690" s="263">
        <v>45412</v>
      </c>
      <c r="C690" s="162">
        <v>5035.6899999999996</v>
      </c>
      <c r="D690" s="94">
        <f t="shared" si="30"/>
        <v>-1.5730517164206925E-2</v>
      </c>
      <c r="F690" s="161">
        <v>1420.81</v>
      </c>
      <c r="G690" s="94">
        <f t="shared" si="31"/>
        <v>-2.6555766424357863E-2</v>
      </c>
      <c r="J690" s="264">
        <v>384.79</v>
      </c>
      <c r="K690" s="94">
        <f t="shared" si="32"/>
        <v>-7.7958526064070277E-5</v>
      </c>
    </row>
    <row r="691" spans="2:11" x14ac:dyDescent="0.25">
      <c r="B691" s="263">
        <v>45413</v>
      </c>
      <c r="C691" s="162">
        <v>5018.3900000000003</v>
      </c>
      <c r="D691" s="94">
        <f t="shared" si="30"/>
        <v>-3.4354775611682431E-3</v>
      </c>
      <c r="F691" s="161">
        <v>1420.56</v>
      </c>
      <c r="G691" s="94">
        <f t="shared" si="31"/>
        <v>-1.7595596877839625E-4</v>
      </c>
      <c r="J691" s="264">
        <v>383.98</v>
      </c>
      <c r="K691" s="94">
        <f t="shared" si="32"/>
        <v>-2.1050443098833416E-3</v>
      </c>
    </row>
    <row r="692" spans="2:11" x14ac:dyDescent="0.25">
      <c r="B692" s="263">
        <v>45414</v>
      </c>
      <c r="C692" s="162">
        <v>5064.2</v>
      </c>
      <c r="D692" s="94">
        <f t="shared" si="30"/>
        <v>9.1284256504575723E-3</v>
      </c>
      <c r="F692" s="161">
        <v>1443.05</v>
      </c>
      <c r="G692" s="94">
        <f t="shared" si="31"/>
        <v>1.5831784648307812E-2</v>
      </c>
      <c r="J692" s="264">
        <v>381.54</v>
      </c>
      <c r="K692" s="94">
        <f t="shared" si="32"/>
        <v>-6.3544976300848877E-3</v>
      </c>
    </row>
    <row r="693" spans="2:11" x14ac:dyDescent="0.25">
      <c r="B693" s="263">
        <v>45415</v>
      </c>
      <c r="C693" s="162">
        <v>5127.79</v>
      </c>
      <c r="D693" s="94">
        <f t="shared" si="30"/>
        <v>1.2556771059594851E-2</v>
      </c>
      <c r="F693" s="161">
        <v>1453.33</v>
      </c>
      <c r="G693" s="94">
        <f t="shared" si="31"/>
        <v>7.1238002841205184E-3</v>
      </c>
      <c r="J693" s="264">
        <v>388.55</v>
      </c>
      <c r="K693" s="94">
        <f t="shared" si="32"/>
        <v>1.8372909786654068E-2</v>
      </c>
    </row>
    <row r="694" spans="2:11" x14ac:dyDescent="0.25">
      <c r="B694" s="263">
        <v>45418</v>
      </c>
      <c r="C694" s="162">
        <v>5180.74</v>
      </c>
      <c r="D694" s="94">
        <f t="shared" si="30"/>
        <v>1.0326085896653403E-2</v>
      </c>
      <c r="F694" s="161">
        <v>1468.71</v>
      </c>
      <c r="G694" s="94">
        <f t="shared" si="31"/>
        <v>1.0582593079341951E-2</v>
      </c>
      <c r="J694" s="264">
        <v>395.84</v>
      </c>
      <c r="K694" s="94">
        <f t="shared" si="32"/>
        <v>1.8762064084416386E-2</v>
      </c>
    </row>
    <row r="695" spans="2:11" x14ac:dyDescent="0.25">
      <c r="B695" s="263">
        <v>45419</v>
      </c>
      <c r="C695" s="162">
        <v>5187.7</v>
      </c>
      <c r="D695" s="94">
        <f t="shared" si="30"/>
        <v>1.3434374239973401E-3</v>
      </c>
      <c r="F695" s="161">
        <v>1460.52</v>
      </c>
      <c r="G695" s="94">
        <f t="shared" si="31"/>
        <v>-5.5763220785587375E-3</v>
      </c>
      <c r="J695" s="264">
        <v>397.84</v>
      </c>
      <c r="K695" s="94">
        <f t="shared" si="32"/>
        <v>5.0525464834276779E-3</v>
      </c>
    </row>
    <row r="696" spans="2:11" x14ac:dyDescent="0.25">
      <c r="B696" s="263">
        <v>45420</v>
      </c>
      <c r="C696" s="162">
        <v>5187.67</v>
      </c>
      <c r="D696" s="94">
        <f t="shared" si="30"/>
        <v>-5.7829095745365322E-6</v>
      </c>
      <c r="F696" s="161">
        <v>1454.59</v>
      </c>
      <c r="G696" s="94">
        <f t="shared" si="31"/>
        <v>-4.0601977377920928E-3</v>
      </c>
      <c r="J696" s="264">
        <v>393.96</v>
      </c>
      <c r="K696" s="94">
        <f t="shared" si="32"/>
        <v>-9.7526643876935104E-3</v>
      </c>
    </row>
    <row r="697" spans="2:11" x14ac:dyDescent="0.25">
      <c r="B697" s="263">
        <v>45421</v>
      </c>
      <c r="C697" s="162">
        <v>5214.08</v>
      </c>
      <c r="D697" s="94">
        <f t="shared" si="30"/>
        <v>5.0909175024624886E-3</v>
      </c>
      <c r="F697" s="161">
        <v>1464.58</v>
      </c>
      <c r="G697" s="94">
        <f t="shared" si="31"/>
        <v>6.8679146701131621E-3</v>
      </c>
      <c r="J697" s="264">
        <v>397.79</v>
      </c>
      <c r="K697" s="94">
        <f t="shared" si="32"/>
        <v>9.7217991674283244E-3</v>
      </c>
    </row>
    <row r="698" spans="2:11" x14ac:dyDescent="0.25">
      <c r="B698" s="263">
        <v>45422</v>
      </c>
      <c r="C698" s="162">
        <v>5222.68</v>
      </c>
      <c r="D698" s="94">
        <f t="shared" si="30"/>
        <v>1.6493801399288799E-3</v>
      </c>
      <c r="F698" s="161">
        <v>1455.72</v>
      </c>
      <c r="G698" s="94">
        <f t="shared" si="31"/>
        <v>-6.0495159021698441E-3</v>
      </c>
      <c r="J698" s="264">
        <v>390.02</v>
      </c>
      <c r="K698" s="94">
        <f t="shared" si="32"/>
        <v>-1.9532919379572244E-2</v>
      </c>
    </row>
    <row r="699" spans="2:11" x14ac:dyDescent="0.25">
      <c r="B699" s="263">
        <v>45425</v>
      </c>
      <c r="C699" s="162">
        <v>5221.42</v>
      </c>
      <c r="D699" s="94">
        <f t="shared" si="30"/>
        <v>-2.4125544739483917E-4</v>
      </c>
      <c r="F699" s="161">
        <v>1452.56</v>
      </c>
      <c r="G699" s="94">
        <f t="shared" si="31"/>
        <v>-2.1707471216992902E-3</v>
      </c>
      <c r="J699" s="264">
        <v>377.42</v>
      </c>
      <c r="K699" s="94">
        <f t="shared" si="32"/>
        <v>-3.2306035587918447E-2</v>
      </c>
    </row>
    <row r="700" spans="2:11" x14ac:dyDescent="0.25">
      <c r="B700" s="263">
        <v>45426</v>
      </c>
      <c r="C700" s="162">
        <v>5246.68</v>
      </c>
      <c r="D700" s="94">
        <f t="shared" si="30"/>
        <v>4.8377644395585229E-3</v>
      </c>
      <c r="F700" s="161">
        <v>1458.93</v>
      </c>
      <c r="G700" s="94">
        <f t="shared" si="31"/>
        <v>4.3853610177893021E-3</v>
      </c>
      <c r="J700" s="264">
        <v>387.24</v>
      </c>
      <c r="K700" s="94">
        <f t="shared" si="32"/>
        <v>2.6018758942292441E-2</v>
      </c>
    </row>
    <row r="701" spans="2:11" x14ac:dyDescent="0.25">
      <c r="B701" s="263">
        <v>45427</v>
      </c>
      <c r="C701" s="162">
        <v>5308.15</v>
      </c>
      <c r="D701" s="94">
        <f t="shared" si="30"/>
        <v>1.1715980391409309E-2</v>
      </c>
      <c r="F701" s="161">
        <v>1458.87</v>
      </c>
      <c r="G701" s="94">
        <f t="shared" si="31"/>
        <v>-4.1126030721261309E-5</v>
      </c>
      <c r="J701" s="264">
        <v>389.18</v>
      </c>
      <c r="K701" s="94">
        <f t="shared" si="32"/>
        <v>5.0098130358433579E-3</v>
      </c>
    </row>
    <row r="702" spans="2:11" x14ac:dyDescent="0.25">
      <c r="B702" s="263">
        <v>45428</v>
      </c>
      <c r="C702" s="162">
        <v>5297.1</v>
      </c>
      <c r="D702" s="94">
        <f t="shared" si="30"/>
        <v>-2.0817045486656305E-3</v>
      </c>
      <c r="F702" s="161">
        <v>1447.87</v>
      </c>
      <c r="G702" s="94">
        <f t="shared" si="31"/>
        <v>-7.5400823925366733E-3</v>
      </c>
      <c r="J702" s="264">
        <v>388.97</v>
      </c>
      <c r="K702" s="94">
        <f t="shared" si="32"/>
        <v>-5.3959607379616692E-4</v>
      </c>
    </row>
    <row r="703" spans="2:11" x14ac:dyDescent="0.25">
      <c r="B703" s="263">
        <v>45429</v>
      </c>
      <c r="C703" s="162">
        <v>5303.27</v>
      </c>
      <c r="D703" s="94">
        <f t="shared" si="30"/>
        <v>1.1647882803798026E-3</v>
      </c>
      <c r="F703" s="161">
        <v>1454.92</v>
      </c>
      <c r="G703" s="94">
        <f t="shared" si="31"/>
        <v>4.8692216842673997E-3</v>
      </c>
      <c r="J703" s="264">
        <v>386.28</v>
      </c>
      <c r="K703" s="94">
        <f t="shared" si="32"/>
        <v>-6.9157004396227517E-3</v>
      </c>
    </row>
    <row r="704" spans="2:11" x14ac:dyDescent="0.25">
      <c r="B704" s="263">
        <v>45432</v>
      </c>
      <c r="C704" s="162">
        <v>5308.13</v>
      </c>
      <c r="D704" s="94">
        <f t="shared" si="30"/>
        <v>9.1641572086653689E-4</v>
      </c>
      <c r="F704" s="161">
        <v>1444.45</v>
      </c>
      <c r="G704" s="94">
        <f t="shared" si="31"/>
        <v>-7.1962719599703018E-3</v>
      </c>
      <c r="J704" s="264">
        <v>382.84</v>
      </c>
      <c r="K704" s="94">
        <f t="shared" si="32"/>
        <v>-8.9054571813192984E-3</v>
      </c>
    </row>
    <row r="705" spans="2:11" x14ac:dyDescent="0.25">
      <c r="B705" s="263">
        <v>45433</v>
      </c>
      <c r="C705" s="162">
        <v>5321.41</v>
      </c>
      <c r="D705" s="94">
        <f t="shared" si="30"/>
        <v>2.5018226757822504E-3</v>
      </c>
      <c r="F705" s="161">
        <v>1451.49</v>
      </c>
      <c r="G705" s="94">
        <f t="shared" si="31"/>
        <v>4.8738274083561794E-3</v>
      </c>
      <c r="J705" s="264">
        <v>380.34</v>
      </c>
      <c r="K705" s="94">
        <f t="shared" si="32"/>
        <v>-6.530143140737632E-3</v>
      </c>
    </row>
    <row r="706" spans="2:11" x14ac:dyDescent="0.25">
      <c r="B706" s="263">
        <v>45434</v>
      </c>
      <c r="C706" s="162">
        <v>5307.01</v>
      </c>
      <c r="D706" s="94">
        <f t="shared" si="30"/>
        <v>-2.7060497123881921E-3</v>
      </c>
      <c r="F706" s="161">
        <v>1439.19</v>
      </c>
      <c r="G706" s="94">
        <f t="shared" si="31"/>
        <v>-8.4740508029679251E-3</v>
      </c>
      <c r="J706" s="264">
        <v>378.54</v>
      </c>
      <c r="K706" s="94">
        <f t="shared" si="32"/>
        <v>-4.7326076668242623E-3</v>
      </c>
    </row>
    <row r="707" spans="2:11" x14ac:dyDescent="0.25">
      <c r="B707" s="263">
        <v>45435</v>
      </c>
      <c r="C707" s="162">
        <v>5267.84</v>
      </c>
      <c r="D707" s="94">
        <f t="shared" si="30"/>
        <v>-7.3808038801509435E-3</v>
      </c>
      <c r="F707" s="161">
        <v>1417.34</v>
      </c>
      <c r="G707" s="94">
        <f t="shared" si="31"/>
        <v>-1.5182151071088668E-2</v>
      </c>
      <c r="J707" s="264">
        <v>381.12</v>
      </c>
      <c r="K707" s="94">
        <f t="shared" si="32"/>
        <v>6.8156601680138262E-3</v>
      </c>
    </row>
    <row r="708" spans="2:11" x14ac:dyDescent="0.25">
      <c r="B708" s="263">
        <v>45436</v>
      </c>
      <c r="C708" s="162">
        <v>5304.72</v>
      </c>
      <c r="D708" s="94">
        <f t="shared" si="30"/>
        <v>7.0009719353663069E-3</v>
      </c>
      <c r="F708" s="161">
        <v>1427.98</v>
      </c>
      <c r="G708" s="94">
        <f t="shared" si="31"/>
        <v>7.5070201927556202E-3</v>
      </c>
      <c r="J708" s="264">
        <v>383.89</v>
      </c>
      <c r="K708" s="94">
        <f t="shared" si="32"/>
        <v>7.2680520570949092E-3</v>
      </c>
    </row>
    <row r="709" spans="2:11" x14ac:dyDescent="0.25">
      <c r="B709" s="263">
        <v>45440</v>
      </c>
      <c r="C709" s="162">
        <v>5306.04</v>
      </c>
      <c r="D709" s="94">
        <f t="shared" si="30"/>
        <v>2.4883499977379486E-4</v>
      </c>
      <c r="F709" s="161">
        <v>1426.67</v>
      </c>
      <c r="G709" s="94">
        <f t="shared" si="31"/>
        <v>-9.1737979523520696E-4</v>
      </c>
      <c r="J709" s="264">
        <v>389.6</v>
      </c>
      <c r="K709" s="94">
        <f t="shared" si="32"/>
        <v>1.4874052462945153E-2</v>
      </c>
    </row>
    <row r="710" spans="2:11" x14ac:dyDescent="0.25">
      <c r="B710" s="263">
        <v>45441</v>
      </c>
      <c r="C710" s="162">
        <v>5266.95</v>
      </c>
      <c r="D710" s="94">
        <f t="shared" si="30"/>
        <v>-7.3670760114887823E-3</v>
      </c>
      <c r="F710" s="161">
        <v>1418.7</v>
      </c>
      <c r="G710" s="94">
        <f t="shared" si="31"/>
        <v>-5.5864355457113657E-3</v>
      </c>
      <c r="J710" s="264">
        <v>387.02</v>
      </c>
      <c r="K710" s="94">
        <f t="shared" si="32"/>
        <v>-6.6221765913758723E-3</v>
      </c>
    </row>
    <row r="711" spans="2:11" x14ac:dyDescent="0.25">
      <c r="B711" s="263">
        <v>45442</v>
      </c>
      <c r="C711" s="162">
        <v>5235.4799999999996</v>
      </c>
      <c r="D711" s="94">
        <f t="shared" si="30"/>
        <v>-5.9749950160910004E-3</v>
      </c>
      <c r="F711" s="161">
        <v>1421.31</v>
      </c>
      <c r="G711" s="94">
        <f t="shared" si="31"/>
        <v>1.8397124127722542E-3</v>
      </c>
      <c r="J711" s="264">
        <v>385.97</v>
      </c>
      <c r="K711" s="94">
        <f t="shared" si="32"/>
        <v>-2.7130380858869652E-3</v>
      </c>
    </row>
    <row r="712" spans="2:11" x14ac:dyDescent="0.25">
      <c r="B712" s="263">
        <v>45443</v>
      </c>
      <c r="C712" s="162">
        <v>5277.51</v>
      </c>
      <c r="D712" s="94">
        <f t="shared" si="30"/>
        <v>8.0279172110295782E-3</v>
      </c>
      <c r="F712" s="161">
        <v>1423.51</v>
      </c>
      <c r="G712" s="94">
        <f t="shared" si="31"/>
        <v>1.5478678120888212E-3</v>
      </c>
      <c r="J712" s="264">
        <v>368.65</v>
      </c>
      <c r="K712" s="94">
        <f t="shared" si="32"/>
        <v>-4.487395393424376E-2</v>
      </c>
    </row>
    <row r="713" spans="2:11" x14ac:dyDescent="0.25">
      <c r="B713" s="263">
        <v>45446</v>
      </c>
      <c r="C713" s="162">
        <v>5283.4</v>
      </c>
      <c r="D713" s="94">
        <f t="shared" ref="D713:D776" si="33">C713/C712-1</f>
        <v>1.116056625188655E-3</v>
      </c>
      <c r="F713" s="161">
        <v>1425.53</v>
      </c>
      <c r="G713" s="94">
        <f t="shared" ref="G713:G776" si="34">F713/F712-1</f>
        <v>1.4190276148393632E-3</v>
      </c>
      <c r="J713" s="264">
        <v>376.62</v>
      </c>
      <c r="K713" s="94">
        <f t="shared" si="32"/>
        <v>2.1619422216194284E-2</v>
      </c>
    </row>
    <row r="714" spans="2:11" x14ac:dyDescent="0.25">
      <c r="B714" s="263">
        <v>45447</v>
      </c>
      <c r="C714" s="162">
        <v>5291.34</v>
      </c>
      <c r="D714" s="94">
        <f t="shared" si="33"/>
        <v>1.5028201536890773E-3</v>
      </c>
      <c r="F714" s="161">
        <v>1427.99</v>
      </c>
      <c r="G714" s="94">
        <f t="shared" si="34"/>
        <v>1.725673959860563E-3</v>
      </c>
      <c r="J714" s="264">
        <v>378.53</v>
      </c>
      <c r="K714" s="94">
        <f t="shared" ref="K714:K777" si="35">J714/J713-1</f>
        <v>5.0714247782910338E-3</v>
      </c>
    </row>
    <row r="715" spans="2:11" x14ac:dyDescent="0.25">
      <c r="B715" s="263">
        <v>45448</v>
      </c>
      <c r="C715" s="162">
        <v>5354.03</v>
      </c>
      <c r="D715" s="94">
        <f t="shared" si="33"/>
        <v>1.1847660516995706E-2</v>
      </c>
      <c r="F715" s="161">
        <v>1437.51</v>
      </c>
      <c r="G715" s="94">
        <f t="shared" si="34"/>
        <v>6.6667133523343747E-3</v>
      </c>
      <c r="J715" s="264">
        <v>402.44</v>
      </c>
      <c r="K715" s="94">
        <f t="shared" si="35"/>
        <v>6.316540300636686E-2</v>
      </c>
    </row>
    <row r="716" spans="2:11" x14ac:dyDescent="0.25">
      <c r="B716" s="263">
        <v>45449</v>
      </c>
      <c r="C716" s="162">
        <v>5352.96</v>
      </c>
      <c r="D716" s="94">
        <f t="shared" si="33"/>
        <v>-1.9984945919238051E-4</v>
      </c>
      <c r="F716" s="161">
        <v>1451.47</v>
      </c>
      <c r="G716" s="94">
        <f t="shared" si="34"/>
        <v>9.7112367913962938E-3</v>
      </c>
      <c r="J716" s="264">
        <v>385.84</v>
      </c>
      <c r="K716" s="94">
        <f t="shared" si="35"/>
        <v>-4.1248384852400455E-2</v>
      </c>
    </row>
    <row r="717" spans="2:11" x14ac:dyDescent="0.25">
      <c r="B717" s="263">
        <v>45450</v>
      </c>
      <c r="C717" s="162">
        <v>5346.99</v>
      </c>
      <c r="D717" s="94">
        <f t="shared" si="33"/>
        <v>-1.1152708034434244E-3</v>
      </c>
      <c r="F717" s="161">
        <v>1445.29</v>
      </c>
      <c r="G717" s="94">
        <f t="shared" si="34"/>
        <v>-4.2577524854113813E-3</v>
      </c>
      <c r="J717" s="264">
        <v>383.79</v>
      </c>
      <c r="K717" s="94">
        <f t="shared" si="35"/>
        <v>-5.313083143271724E-3</v>
      </c>
    </row>
    <row r="718" spans="2:11" x14ac:dyDescent="0.25">
      <c r="B718" s="263">
        <v>45453</v>
      </c>
      <c r="C718" s="162">
        <v>5360.79</v>
      </c>
      <c r="D718" s="94">
        <f t="shared" si="33"/>
        <v>2.5808913052016713E-3</v>
      </c>
      <c r="F718" s="161">
        <v>1452.68</v>
      </c>
      <c r="G718" s="94">
        <f t="shared" si="34"/>
        <v>5.1131606805554508E-3</v>
      </c>
      <c r="J718" s="264">
        <v>395.63</v>
      </c>
      <c r="K718" s="94">
        <f t="shared" si="35"/>
        <v>3.0850204538940496E-2</v>
      </c>
    </row>
    <row r="719" spans="2:11" x14ac:dyDescent="0.25">
      <c r="B719" s="263">
        <v>45454</v>
      </c>
      <c r="C719" s="162">
        <v>5375.32</v>
      </c>
      <c r="D719" s="94">
        <f t="shared" si="33"/>
        <v>2.7104214117694703E-3</v>
      </c>
      <c r="F719" s="161">
        <v>1449.54</v>
      </c>
      <c r="G719" s="94">
        <f t="shared" si="34"/>
        <v>-2.1615221521602557E-3</v>
      </c>
      <c r="J719" s="264">
        <v>397.15</v>
      </c>
      <c r="K719" s="94">
        <f t="shared" si="35"/>
        <v>3.841973561155676E-3</v>
      </c>
    </row>
    <row r="720" spans="2:11" x14ac:dyDescent="0.25">
      <c r="B720" s="263">
        <v>45455</v>
      </c>
      <c r="C720" s="162">
        <v>5421.03</v>
      </c>
      <c r="D720" s="94">
        <f t="shared" si="33"/>
        <v>8.503679780924589E-3</v>
      </c>
      <c r="F720" s="161">
        <v>1461.78</v>
      </c>
      <c r="G720" s="94">
        <f t="shared" si="34"/>
        <v>8.4440581149882732E-3</v>
      </c>
      <c r="J720" s="264">
        <v>410.99</v>
      </c>
      <c r="K720" s="94">
        <f t="shared" si="35"/>
        <v>3.4848294095429999E-2</v>
      </c>
    </row>
    <row r="721" spans="2:11" x14ac:dyDescent="0.25">
      <c r="B721" s="263">
        <v>45456</v>
      </c>
      <c r="C721" s="162">
        <v>5433.74</v>
      </c>
      <c r="D721" s="94">
        <f t="shared" si="33"/>
        <v>2.3445728948188194E-3</v>
      </c>
      <c r="F721" s="161">
        <v>1458.79</v>
      </c>
      <c r="G721" s="94">
        <f t="shared" si="34"/>
        <v>-2.0454514359206089E-3</v>
      </c>
      <c r="J721" s="264">
        <v>406.8</v>
      </c>
      <c r="K721" s="94">
        <f t="shared" si="35"/>
        <v>-1.0194895252925829E-2</v>
      </c>
    </row>
    <row r="722" spans="2:11" x14ac:dyDescent="0.25">
      <c r="B722" s="263">
        <v>45457</v>
      </c>
      <c r="C722" s="162">
        <v>5431.6</v>
      </c>
      <c r="D722" s="94">
        <f t="shared" si="33"/>
        <v>-3.9383555341243603E-4</v>
      </c>
      <c r="F722" s="161">
        <v>1449.13</v>
      </c>
      <c r="G722" s="94">
        <f t="shared" si="34"/>
        <v>-6.6219263910499704E-3</v>
      </c>
      <c r="J722" s="264">
        <v>398.79</v>
      </c>
      <c r="K722" s="94">
        <f t="shared" si="35"/>
        <v>-1.9690265486725589E-2</v>
      </c>
    </row>
    <row r="723" spans="2:11" x14ac:dyDescent="0.25">
      <c r="B723" s="263">
        <v>45460</v>
      </c>
      <c r="C723" s="162">
        <v>5473.23</v>
      </c>
      <c r="D723" s="94">
        <f t="shared" si="33"/>
        <v>7.6644082774870448E-3</v>
      </c>
      <c r="F723" s="161">
        <v>1469.92</v>
      </c>
      <c r="G723" s="94">
        <f t="shared" si="34"/>
        <v>1.4346538957857424E-2</v>
      </c>
      <c r="J723" s="264">
        <v>417.38</v>
      </c>
      <c r="K723" s="94">
        <f t="shared" si="35"/>
        <v>4.6616013440657911E-2</v>
      </c>
    </row>
    <row r="724" spans="2:11" x14ac:dyDescent="0.25">
      <c r="B724" s="263">
        <v>45461</v>
      </c>
      <c r="C724" s="162">
        <v>5487.03</v>
      </c>
      <c r="D724" s="94">
        <f t="shared" si="33"/>
        <v>2.5213630708009749E-3</v>
      </c>
      <c r="F724" s="161">
        <v>1463.71</v>
      </c>
      <c r="G724" s="94">
        <f t="shared" si="34"/>
        <v>-4.2247197126374925E-3</v>
      </c>
      <c r="J724" s="264">
        <v>428.85</v>
      </c>
      <c r="K724" s="94">
        <f t="shared" si="35"/>
        <v>2.7480952609133302E-2</v>
      </c>
    </row>
    <row r="725" spans="2:11" x14ac:dyDescent="0.25">
      <c r="B725" s="263">
        <v>45463</v>
      </c>
      <c r="C725" s="162">
        <v>5473.17</v>
      </c>
      <c r="D725" s="94">
        <f t="shared" si="33"/>
        <v>-2.5259566650810417E-3</v>
      </c>
      <c r="F725" s="161">
        <v>1470.36</v>
      </c>
      <c r="G725" s="94">
        <f t="shared" si="34"/>
        <v>4.5432496874380224E-3</v>
      </c>
      <c r="J725" s="264">
        <v>408.69</v>
      </c>
      <c r="K725" s="94">
        <f t="shared" si="35"/>
        <v>-4.7009443861490086E-2</v>
      </c>
    </row>
    <row r="726" spans="2:11" x14ac:dyDescent="0.25">
      <c r="B726" s="263">
        <v>45464</v>
      </c>
      <c r="C726" s="162">
        <v>5464.62</v>
      </c>
      <c r="D726" s="94">
        <f t="shared" si="33"/>
        <v>-1.5621659842468549E-3</v>
      </c>
      <c r="F726" s="161">
        <v>1485.29</v>
      </c>
      <c r="G726" s="94">
        <f t="shared" si="34"/>
        <v>1.0153975897059242E-2</v>
      </c>
      <c r="J726" s="264">
        <v>414.76</v>
      </c>
      <c r="K726" s="94">
        <f t="shared" si="35"/>
        <v>1.4852333064180767E-2</v>
      </c>
    </row>
    <row r="727" spans="2:11" x14ac:dyDescent="0.25">
      <c r="B727" s="263">
        <v>45467</v>
      </c>
      <c r="C727" s="162">
        <v>5447.87</v>
      </c>
      <c r="D727" s="94">
        <f t="shared" si="33"/>
        <v>-3.0651719607218686E-3</v>
      </c>
      <c r="F727" s="161">
        <v>1474.31</v>
      </c>
      <c r="G727" s="94">
        <f t="shared" si="34"/>
        <v>-7.3924957415724135E-3</v>
      </c>
      <c r="J727" s="264">
        <v>411.03</v>
      </c>
      <c r="K727" s="94">
        <f t="shared" si="35"/>
        <v>-8.9931526666023887E-3</v>
      </c>
    </row>
    <row r="728" spans="2:11" x14ac:dyDescent="0.25">
      <c r="B728" s="263">
        <v>45468</v>
      </c>
      <c r="C728" s="162">
        <v>5469.3</v>
      </c>
      <c r="D728" s="94">
        <f t="shared" si="33"/>
        <v>3.9336474622191364E-3</v>
      </c>
      <c r="F728" s="161">
        <v>1470.16</v>
      </c>
      <c r="G728" s="94">
        <f t="shared" si="34"/>
        <v>-2.814876111536857E-3</v>
      </c>
      <c r="J728" s="264">
        <v>419.16</v>
      </c>
      <c r="K728" s="94">
        <f t="shared" si="35"/>
        <v>1.9779578132983033E-2</v>
      </c>
    </row>
    <row r="729" spans="2:11" x14ac:dyDescent="0.25">
      <c r="B729" s="263">
        <v>45469</v>
      </c>
      <c r="C729" s="162">
        <v>5477.9</v>
      </c>
      <c r="D729" s="94">
        <f t="shared" si="33"/>
        <v>1.5724132887204867E-3</v>
      </c>
      <c r="F729" s="161">
        <v>1499.31</v>
      </c>
      <c r="G729" s="94">
        <f t="shared" si="34"/>
        <v>1.9827773847744368E-2</v>
      </c>
      <c r="J729" s="264">
        <v>422.64</v>
      </c>
      <c r="K729" s="94">
        <f t="shared" si="35"/>
        <v>8.3023189235613692E-3</v>
      </c>
    </row>
    <row r="730" spans="2:11" x14ac:dyDescent="0.25">
      <c r="B730" s="263">
        <v>45470</v>
      </c>
      <c r="C730" s="162">
        <v>5482.87</v>
      </c>
      <c r="D730" s="94">
        <f t="shared" si="33"/>
        <v>9.0728198762302092E-4</v>
      </c>
      <c r="F730" s="161">
        <v>1512.77</v>
      </c>
      <c r="G730" s="94">
        <f t="shared" si="34"/>
        <v>8.9774629662977556E-3</v>
      </c>
      <c r="J730" s="264">
        <v>426.22</v>
      </c>
      <c r="K730" s="94">
        <f t="shared" si="35"/>
        <v>8.4705659663071309E-3</v>
      </c>
    </row>
    <row r="731" spans="2:11" x14ac:dyDescent="0.25">
      <c r="B731" s="263">
        <v>45471</v>
      </c>
      <c r="C731" s="162">
        <v>5460.48</v>
      </c>
      <c r="D731" s="94">
        <f t="shared" si="33"/>
        <v>-4.0836277351096184E-3</v>
      </c>
      <c r="F731" s="161">
        <v>1492.14</v>
      </c>
      <c r="G731" s="94">
        <f t="shared" si="34"/>
        <v>-1.3637235005982351E-2</v>
      </c>
      <c r="J731" s="264">
        <v>422.66</v>
      </c>
      <c r="K731" s="94">
        <f t="shared" si="35"/>
        <v>-8.3524940171741946E-3</v>
      </c>
    </row>
    <row r="732" spans="2:11" x14ac:dyDescent="0.25">
      <c r="B732" s="263">
        <v>45474</v>
      </c>
      <c r="C732" s="162">
        <v>5475.09</v>
      </c>
      <c r="D732" s="94">
        <f t="shared" si="33"/>
        <v>2.6755889592124937E-3</v>
      </c>
      <c r="F732" s="161">
        <v>1503.07</v>
      </c>
      <c r="G732" s="94">
        <f t="shared" si="34"/>
        <v>7.325049928290861E-3</v>
      </c>
      <c r="J732" s="264">
        <v>424.64</v>
      </c>
      <c r="K732" s="94">
        <f t="shared" si="35"/>
        <v>4.6846164766005671E-3</v>
      </c>
    </row>
    <row r="733" spans="2:11" x14ac:dyDescent="0.25">
      <c r="B733" s="263">
        <v>45475</v>
      </c>
      <c r="C733" s="162">
        <v>5509.01</v>
      </c>
      <c r="D733" s="94">
        <f t="shared" si="33"/>
        <v>6.195331948881222E-3</v>
      </c>
      <c r="F733" s="161">
        <v>1530.24</v>
      </c>
      <c r="G733" s="94">
        <f t="shared" si="34"/>
        <v>1.8076337096742057E-2</v>
      </c>
      <c r="J733" s="264">
        <v>420.78</v>
      </c>
      <c r="K733" s="94">
        <f t="shared" si="35"/>
        <v>-9.0900527505651807E-3</v>
      </c>
    </row>
    <row r="734" spans="2:11" x14ac:dyDescent="0.25">
      <c r="B734" s="263">
        <v>45476</v>
      </c>
      <c r="C734" s="162">
        <v>5537.02</v>
      </c>
      <c r="D734" s="94">
        <f t="shared" si="33"/>
        <v>5.0843981041965858E-3</v>
      </c>
      <c r="F734" s="161">
        <v>1535.11</v>
      </c>
      <c r="G734" s="94">
        <f t="shared" si="34"/>
        <v>3.1825073191131814E-3</v>
      </c>
      <c r="J734" s="264">
        <v>418.49</v>
      </c>
      <c r="K734" s="94">
        <f t="shared" si="35"/>
        <v>-5.4422738723322039E-3</v>
      </c>
    </row>
    <row r="735" spans="2:11" x14ac:dyDescent="0.25">
      <c r="B735" s="263">
        <v>45478</v>
      </c>
      <c r="C735" s="162">
        <v>5567.19</v>
      </c>
      <c r="D735" s="94">
        <f t="shared" si="33"/>
        <v>5.4487793072806046E-3</v>
      </c>
      <c r="F735" s="161">
        <v>1548.12</v>
      </c>
      <c r="G735" s="94">
        <f t="shared" si="34"/>
        <v>8.4749627062554733E-3</v>
      </c>
      <c r="J735" s="264">
        <v>418.72</v>
      </c>
      <c r="K735" s="94">
        <f t="shared" si="35"/>
        <v>5.4959497240081312E-4</v>
      </c>
    </row>
    <row r="736" spans="2:11" x14ac:dyDescent="0.25">
      <c r="B736" s="263">
        <v>45481</v>
      </c>
      <c r="C736" s="162">
        <v>5572.85</v>
      </c>
      <c r="D736" s="94">
        <f t="shared" si="33"/>
        <v>1.0166708878267539E-3</v>
      </c>
      <c r="F736" s="161">
        <v>1548.04</v>
      </c>
      <c r="G736" s="94">
        <f t="shared" si="34"/>
        <v>-5.1675580704291235E-5</v>
      </c>
      <c r="J736" s="264">
        <v>406.51</v>
      </c>
      <c r="K736" s="94">
        <f t="shared" si="35"/>
        <v>-2.9160298051203792E-2</v>
      </c>
    </row>
    <row r="737" spans="2:11" x14ac:dyDescent="0.25">
      <c r="B737" s="263">
        <v>45482</v>
      </c>
      <c r="C737" s="162">
        <v>5576.98</v>
      </c>
      <c r="D737" s="94">
        <f t="shared" si="33"/>
        <v>7.410929775606423E-4</v>
      </c>
      <c r="F737" s="161">
        <v>1552.03</v>
      </c>
      <c r="G737" s="94">
        <f t="shared" si="34"/>
        <v>2.5774527789979018E-3</v>
      </c>
      <c r="J737" s="264">
        <v>395.05</v>
      </c>
      <c r="K737" s="94">
        <f t="shared" si="35"/>
        <v>-2.8191188408649204E-2</v>
      </c>
    </row>
    <row r="738" spans="2:11" x14ac:dyDescent="0.25">
      <c r="B738" s="263">
        <v>45483</v>
      </c>
      <c r="C738" s="162">
        <v>5633.91</v>
      </c>
      <c r="D738" s="94">
        <f t="shared" si="33"/>
        <v>1.0208033738690059E-2</v>
      </c>
      <c r="F738" s="161">
        <v>1562.18</v>
      </c>
      <c r="G738" s="94">
        <f t="shared" si="34"/>
        <v>6.5398220395225248E-3</v>
      </c>
      <c r="J738" s="264">
        <v>382.61</v>
      </c>
      <c r="K738" s="94">
        <f t="shared" si="35"/>
        <v>-3.1489684850019017E-2</v>
      </c>
    </row>
    <row r="739" spans="2:11" x14ac:dyDescent="0.25">
      <c r="B739" s="263">
        <v>45484</v>
      </c>
      <c r="C739" s="162">
        <v>5584.54</v>
      </c>
      <c r="D739" s="94">
        <f t="shared" si="33"/>
        <v>-8.763008283767415E-3</v>
      </c>
      <c r="F739" s="161">
        <v>1539.15</v>
      </c>
      <c r="G739" s="94">
        <f t="shared" si="34"/>
        <v>-1.4742219206493434E-2</v>
      </c>
      <c r="J739" s="264">
        <v>383.6</v>
      </c>
      <c r="K739" s="94">
        <f t="shared" si="35"/>
        <v>2.5874911790073618E-3</v>
      </c>
    </row>
    <row r="740" spans="2:11" x14ac:dyDescent="0.25">
      <c r="B740" s="263">
        <v>45485</v>
      </c>
      <c r="C740" s="162">
        <v>5615.35</v>
      </c>
      <c r="D740" s="94">
        <f t="shared" si="33"/>
        <v>5.5170166208855509E-3</v>
      </c>
      <c r="F740" s="161">
        <v>1553.98</v>
      </c>
      <c r="G740" s="94">
        <f t="shared" si="34"/>
        <v>9.6351882532565991E-3</v>
      </c>
      <c r="J740" s="264">
        <v>377.93</v>
      </c>
      <c r="K740" s="94">
        <f t="shared" si="35"/>
        <v>-1.4781021897810276E-2</v>
      </c>
    </row>
    <row r="741" spans="2:11" x14ac:dyDescent="0.25">
      <c r="B741" s="263">
        <v>45488</v>
      </c>
      <c r="C741" s="162">
        <v>5631.22</v>
      </c>
      <c r="D741" s="94">
        <f t="shared" si="33"/>
        <v>2.826181805230199E-3</v>
      </c>
      <c r="F741" s="161">
        <v>1549.21</v>
      </c>
      <c r="G741" s="94">
        <f t="shared" si="34"/>
        <v>-3.0695375744861364E-3</v>
      </c>
      <c r="J741" s="264">
        <v>386.2</v>
      </c>
      <c r="K741" s="94">
        <f t="shared" si="35"/>
        <v>2.1882359167041399E-2</v>
      </c>
    </row>
    <row r="742" spans="2:11" x14ac:dyDescent="0.25">
      <c r="B742" s="263">
        <v>45489</v>
      </c>
      <c r="C742" s="162">
        <v>5667.2</v>
      </c>
      <c r="D742" s="94">
        <f t="shared" si="33"/>
        <v>6.3893792108991043E-3</v>
      </c>
      <c r="F742" s="161">
        <v>1572.55</v>
      </c>
      <c r="G742" s="94">
        <f t="shared" si="34"/>
        <v>1.5065743185236347E-2</v>
      </c>
      <c r="J742" s="264">
        <v>386.74</v>
      </c>
      <c r="K742" s="94">
        <f t="shared" si="35"/>
        <v>1.3982392542724043E-3</v>
      </c>
    </row>
    <row r="743" spans="2:11" x14ac:dyDescent="0.25">
      <c r="B743" s="263">
        <v>45490</v>
      </c>
      <c r="C743" s="162">
        <v>5588.27</v>
      </c>
      <c r="D743" s="94">
        <f t="shared" si="33"/>
        <v>-1.3927512704686507E-2</v>
      </c>
      <c r="F743" s="161">
        <v>1544.32</v>
      </c>
      <c r="G743" s="94">
        <f t="shared" si="34"/>
        <v>-1.7951734444055845E-2</v>
      </c>
      <c r="J743" s="264">
        <v>363.6</v>
      </c>
      <c r="K743" s="94">
        <f t="shared" si="35"/>
        <v>-5.983347985726839E-2</v>
      </c>
    </row>
    <row r="744" spans="2:11" x14ac:dyDescent="0.25">
      <c r="B744" s="263">
        <v>45491</v>
      </c>
      <c r="C744" s="162">
        <v>5544.59</v>
      </c>
      <c r="D744" s="94">
        <f t="shared" si="33"/>
        <v>-7.8163725088444824E-3</v>
      </c>
      <c r="F744" s="161">
        <v>1524.55</v>
      </c>
      <c r="G744" s="94">
        <f t="shared" si="34"/>
        <v>-1.2801750932449174E-2</v>
      </c>
      <c r="J744" s="264">
        <v>366.2</v>
      </c>
      <c r="K744" s="94">
        <f t="shared" si="35"/>
        <v>7.1507150715071077E-3</v>
      </c>
    </row>
    <row r="745" spans="2:11" x14ac:dyDescent="0.25">
      <c r="B745" s="263">
        <v>45492</v>
      </c>
      <c r="C745" s="162">
        <v>5505</v>
      </c>
      <c r="D745" s="94">
        <f t="shared" si="33"/>
        <v>-7.1402935113327182E-3</v>
      </c>
      <c r="F745" s="161">
        <v>1512.32</v>
      </c>
      <c r="G745" s="94">
        <f t="shared" si="34"/>
        <v>-8.0220392902824456E-3</v>
      </c>
      <c r="J745" s="264">
        <v>369.31</v>
      </c>
      <c r="K745" s="94">
        <f t="shared" si="35"/>
        <v>8.4926269797924725E-3</v>
      </c>
    </row>
    <row r="746" spans="2:11" x14ac:dyDescent="0.25">
      <c r="B746" s="263">
        <v>45495</v>
      </c>
      <c r="C746" s="162">
        <v>5564.41</v>
      </c>
      <c r="D746" s="94">
        <f t="shared" si="33"/>
        <v>1.0792007266121617E-2</v>
      </c>
      <c r="F746" s="161">
        <v>1525.5</v>
      </c>
      <c r="G746" s="94">
        <f t="shared" si="34"/>
        <v>8.7150867541261334E-3</v>
      </c>
      <c r="J746" s="264">
        <v>382.66</v>
      </c>
      <c r="K746" s="94">
        <f t="shared" si="35"/>
        <v>3.6148493135848003E-2</v>
      </c>
    </row>
    <row r="747" spans="2:11" x14ac:dyDescent="0.25">
      <c r="B747" s="263">
        <v>45496</v>
      </c>
      <c r="C747" s="162">
        <v>5555.74</v>
      </c>
      <c r="D747" s="94">
        <f t="shared" si="33"/>
        <v>-1.558116673645582E-3</v>
      </c>
      <c r="F747" s="161">
        <v>1525.74</v>
      </c>
      <c r="G747" s="94">
        <f t="shared" si="34"/>
        <v>1.5732546705993222E-4</v>
      </c>
      <c r="J747" s="264">
        <v>385.15</v>
      </c>
      <c r="K747" s="94">
        <f t="shared" si="35"/>
        <v>6.5070820049129008E-3</v>
      </c>
    </row>
    <row r="748" spans="2:11" x14ac:dyDescent="0.25">
      <c r="B748" s="263">
        <v>45497</v>
      </c>
      <c r="C748" s="162">
        <v>5427.13</v>
      </c>
      <c r="D748" s="94">
        <f t="shared" si="33"/>
        <v>-2.3149031452155744E-2</v>
      </c>
      <c r="F748" s="161">
        <v>1466.33</v>
      </c>
      <c r="G748" s="94">
        <f t="shared" si="34"/>
        <v>-3.8938482310223343E-2</v>
      </c>
      <c r="J748" s="264">
        <v>370.53</v>
      </c>
      <c r="K748" s="94">
        <f t="shared" si="35"/>
        <v>-3.7959236661041174E-2</v>
      </c>
    </row>
    <row r="749" spans="2:11" x14ac:dyDescent="0.25">
      <c r="B749" s="263">
        <v>45498</v>
      </c>
      <c r="C749" s="162">
        <v>5399.22</v>
      </c>
      <c r="D749" s="94">
        <f t="shared" si="33"/>
        <v>-5.1426813066942634E-3</v>
      </c>
      <c r="F749" s="161">
        <v>1460.1</v>
      </c>
      <c r="G749" s="94">
        <f t="shared" si="34"/>
        <v>-4.2487025430837377E-3</v>
      </c>
      <c r="J749" s="264">
        <v>360.37</v>
      </c>
      <c r="K749" s="94">
        <f t="shared" si="35"/>
        <v>-2.7420181901600338E-2</v>
      </c>
    </row>
    <row r="750" spans="2:11" x14ac:dyDescent="0.25">
      <c r="B750" s="263">
        <v>45499</v>
      </c>
      <c r="C750" s="162">
        <v>5459.1</v>
      </c>
      <c r="D750" s="94">
        <f t="shared" si="33"/>
        <v>1.1090490848678192E-2</v>
      </c>
      <c r="F750" s="161">
        <v>1477.22</v>
      </c>
      <c r="G750" s="94">
        <f t="shared" si="34"/>
        <v>1.1725224299705683E-2</v>
      </c>
      <c r="J750" s="264">
        <v>366.36</v>
      </c>
      <c r="K750" s="94">
        <f t="shared" si="35"/>
        <v>1.6621805366706432E-2</v>
      </c>
    </row>
    <row r="751" spans="2:11" x14ac:dyDescent="0.25">
      <c r="B751" s="263">
        <v>45502</v>
      </c>
      <c r="C751" s="162">
        <v>5463.54</v>
      </c>
      <c r="D751" s="94">
        <f t="shared" si="33"/>
        <v>8.1332087706753597E-4</v>
      </c>
      <c r="F751" s="161">
        <v>1498.16</v>
      </c>
      <c r="G751" s="94">
        <f t="shared" si="34"/>
        <v>1.4175275179052482E-2</v>
      </c>
      <c r="J751" s="264">
        <v>367.51499999999999</v>
      </c>
      <c r="K751" s="94">
        <f t="shared" si="35"/>
        <v>3.152636750736848E-3</v>
      </c>
    </row>
    <row r="752" spans="2:11" x14ac:dyDescent="0.25">
      <c r="B752" s="263">
        <v>45503</v>
      </c>
      <c r="C752" s="162">
        <v>5436.44</v>
      </c>
      <c r="D752" s="94">
        <f t="shared" si="33"/>
        <v>-4.9601540393225951E-3</v>
      </c>
      <c r="F752" s="161">
        <v>1489.94</v>
      </c>
      <c r="G752" s="94">
        <f t="shared" si="34"/>
        <v>-5.4867303892774943E-3</v>
      </c>
      <c r="J752" s="264">
        <v>376.57</v>
      </c>
      <c r="K752" s="94">
        <f t="shared" si="35"/>
        <v>2.4638450131287071E-2</v>
      </c>
    </row>
    <row r="753" spans="2:11" x14ac:dyDescent="0.25">
      <c r="B753" s="263">
        <v>45504</v>
      </c>
      <c r="C753" s="162">
        <v>5522.3</v>
      </c>
      <c r="D753" s="94">
        <f t="shared" si="33"/>
        <v>1.579342363752767E-2</v>
      </c>
      <c r="F753" s="161">
        <v>1516.58</v>
      </c>
      <c r="G753" s="94">
        <f t="shared" si="34"/>
        <v>1.7879914627434657E-2</v>
      </c>
      <c r="J753" s="264">
        <v>373.88</v>
      </c>
      <c r="K753" s="94">
        <f t="shared" si="35"/>
        <v>-7.143426189021973E-3</v>
      </c>
    </row>
    <row r="754" spans="2:11" x14ac:dyDescent="0.25">
      <c r="B754" s="263">
        <v>45505</v>
      </c>
      <c r="C754" s="162">
        <v>5446.68</v>
      </c>
      <c r="D754" s="94">
        <f t="shared" si="33"/>
        <v>-1.3693569708273734E-2</v>
      </c>
      <c r="F754" s="161">
        <v>1482.39</v>
      </c>
      <c r="G754" s="94">
        <f t="shared" si="34"/>
        <v>-2.2544145379735925E-2</v>
      </c>
      <c r="J754" s="264">
        <v>371.66</v>
      </c>
      <c r="K754" s="94">
        <f t="shared" si="35"/>
        <v>-5.9377340323097938E-3</v>
      </c>
    </row>
    <row r="755" spans="2:11" x14ac:dyDescent="0.25">
      <c r="B755" s="263">
        <v>45506</v>
      </c>
      <c r="C755" s="162">
        <v>5346.56</v>
      </c>
      <c r="D755" s="94">
        <f t="shared" si="33"/>
        <v>-1.8381839946536194E-2</v>
      </c>
      <c r="F755" s="161">
        <v>1414.01</v>
      </c>
      <c r="G755" s="94">
        <f t="shared" si="34"/>
        <v>-4.6128211874068348E-2</v>
      </c>
      <c r="J755" s="264">
        <v>362.7</v>
      </c>
      <c r="K755" s="94">
        <f t="shared" si="35"/>
        <v>-2.4108055749879065E-2</v>
      </c>
    </row>
    <row r="756" spans="2:11" x14ac:dyDescent="0.25">
      <c r="B756" s="263">
        <v>45509</v>
      </c>
      <c r="C756" s="162">
        <v>5186.33</v>
      </c>
      <c r="D756" s="94">
        <f t="shared" si="33"/>
        <v>-2.9968802370122227E-2</v>
      </c>
      <c r="F756" s="161">
        <v>1370.56</v>
      </c>
      <c r="G756" s="94">
        <f t="shared" si="34"/>
        <v>-3.0728212671763289E-2</v>
      </c>
      <c r="J756" s="264">
        <v>352.46</v>
      </c>
      <c r="K756" s="94">
        <f t="shared" si="35"/>
        <v>-2.8232699200441136E-2</v>
      </c>
    </row>
    <row r="757" spans="2:11" x14ac:dyDescent="0.25">
      <c r="B757" s="263">
        <v>45510</v>
      </c>
      <c r="C757" s="162">
        <v>5240.03</v>
      </c>
      <c r="D757" s="94">
        <f t="shared" si="33"/>
        <v>1.0354142524675369E-2</v>
      </c>
      <c r="F757" s="161">
        <v>1384.87</v>
      </c>
      <c r="G757" s="94">
        <f t="shared" si="34"/>
        <v>1.0440987625496057E-2</v>
      </c>
      <c r="J757" s="264">
        <v>367.81</v>
      </c>
      <c r="K757" s="94">
        <f t="shared" si="35"/>
        <v>4.3551041252908096E-2</v>
      </c>
    </row>
    <row r="758" spans="2:11" x14ac:dyDescent="0.25">
      <c r="B758" s="263">
        <v>45511</v>
      </c>
      <c r="C758" s="162">
        <v>5199.5</v>
      </c>
      <c r="D758" s="94">
        <f t="shared" si="33"/>
        <v>-7.7346885418594358E-3</v>
      </c>
      <c r="F758" s="161">
        <v>1364.91</v>
      </c>
      <c r="G758" s="94">
        <f t="shared" si="34"/>
        <v>-1.4412905182435765E-2</v>
      </c>
      <c r="J758" s="264">
        <v>358.71</v>
      </c>
      <c r="K758" s="94">
        <f t="shared" si="35"/>
        <v>-2.4741034773388515E-2</v>
      </c>
    </row>
    <row r="759" spans="2:11" x14ac:dyDescent="0.25">
      <c r="B759" s="263">
        <v>45512</v>
      </c>
      <c r="C759" s="162">
        <v>5319.31</v>
      </c>
      <c r="D759" s="94">
        <f t="shared" si="33"/>
        <v>2.3042600250024137E-2</v>
      </c>
      <c r="F759" s="161">
        <v>1394.02</v>
      </c>
      <c r="G759" s="94">
        <f t="shared" si="34"/>
        <v>2.1327413529097061E-2</v>
      </c>
      <c r="J759" s="264">
        <v>370.97</v>
      </c>
      <c r="K759" s="94">
        <f t="shared" si="35"/>
        <v>3.4178026818321383E-2</v>
      </c>
    </row>
    <row r="760" spans="2:11" x14ac:dyDescent="0.25">
      <c r="B760" s="263">
        <v>45513</v>
      </c>
      <c r="C760" s="162">
        <v>5344.16</v>
      </c>
      <c r="D760" s="94">
        <f t="shared" si="33"/>
        <v>4.6716585421793244E-3</v>
      </c>
      <c r="F760" s="161">
        <v>1399.68</v>
      </c>
      <c r="G760" s="94">
        <f t="shared" si="34"/>
        <v>4.0601999971305869E-3</v>
      </c>
      <c r="J760" s="264">
        <v>371.48</v>
      </c>
      <c r="K760" s="94">
        <f t="shared" si="35"/>
        <v>1.3747742405045837E-3</v>
      </c>
    </row>
    <row r="761" spans="2:11" x14ac:dyDescent="0.25">
      <c r="B761" s="263">
        <v>45516</v>
      </c>
      <c r="C761" s="162">
        <v>5344.39</v>
      </c>
      <c r="D761" s="94">
        <f t="shared" si="33"/>
        <v>4.3037633603804082E-5</v>
      </c>
      <c r="F761" s="161">
        <v>1394.63</v>
      </c>
      <c r="G761" s="94">
        <f t="shared" si="34"/>
        <v>-3.6079675354366847E-3</v>
      </c>
      <c r="J761" s="264">
        <v>370.7</v>
      </c>
      <c r="K761" s="94">
        <f t="shared" si="35"/>
        <v>-2.0997092710240972E-3</v>
      </c>
    </row>
    <row r="762" spans="2:11" x14ac:dyDescent="0.25">
      <c r="B762" s="263">
        <v>45517</v>
      </c>
      <c r="C762" s="162">
        <v>5434.43</v>
      </c>
      <c r="D762" s="94">
        <f t="shared" si="33"/>
        <v>1.6847572875482442E-2</v>
      </c>
      <c r="F762" s="161">
        <v>1428.42</v>
      </c>
      <c r="G762" s="94">
        <f t="shared" si="34"/>
        <v>2.4228648458731072E-2</v>
      </c>
      <c r="J762" s="264">
        <v>374.69</v>
      </c>
      <c r="K762" s="94">
        <f t="shared" si="35"/>
        <v>1.076342055570545E-2</v>
      </c>
    </row>
    <row r="763" spans="2:11" x14ac:dyDescent="0.25">
      <c r="B763" s="263">
        <v>45518</v>
      </c>
      <c r="C763" s="162">
        <v>5455.21</v>
      </c>
      <c r="D763" s="94">
        <f t="shared" si="33"/>
        <v>3.8237680860733203E-3</v>
      </c>
      <c r="F763" s="161">
        <v>1422.6</v>
      </c>
      <c r="G763" s="94">
        <f t="shared" si="34"/>
        <v>-4.0744318897804055E-3</v>
      </c>
      <c r="J763" s="264">
        <v>377</v>
      </c>
      <c r="K763" s="94">
        <f t="shared" si="35"/>
        <v>6.1650964797566044E-3</v>
      </c>
    </row>
    <row r="764" spans="2:11" x14ac:dyDescent="0.25">
      <c r="B764" s="263">
        <v>45519</v>
      </c>
      <c r="C764" s="162">
        <v>5543.22</v>
      </c>
      <c r="D764" s="94">
        <f t="shared" si="33"/>
        <v>1.6133201104998829E-2</v>
      </c>
      <c r="F764" s="161">
        <v>1470.63</v>
      </c>
      <c r="G764" s="94">
        <f t="shared" si="34"/>
        <v>3.3762125685365074E-2</v>
      </c>
      <c r="J764" s="264">
        <v>388.9</v>
      </c>
      <c r="K764" s="94">
        <f t="shared" si="35"/>
        <v>3.156498673740038E-2</v>
      </c>
    </row>
    <row r="765" spans="2:11" x14ac:dyDescent="0.25">
      <c r="B765" s="263">
        <v>45520</v>
      </c>
      <c r="C765" s="162">
        <v>5554.25</v>
      </c>
      <c r="D765" s="94">
        <f t="shared" si="33"/>
        <v>1.9898181923141411E-3</v>
      </c>
      <c r="F765" s="161">
        <v>1472.66</v>
      </c>
      <c r="G765" s="94">
        <f t="shared" si="34"/>
        <v>1.3803607977533883E-3</v>
      </c>
      <c r="J765" s="264">
        <v>388.46</v>
      </c>
      <c r="K765" s="94">
        <f t="shared" si="35"/>
        <v>-1.131396245821592E-3</v>
      </c>
    </row>
    <row r="766" spans="2:11" x14ac:dyDescent="0.25">
      <c r="B766" s="263">
        <v>45523</v>
      </c>
      <c r="C766" s="162">
        <v>5608.25</v>
      </c>
      <c r="D766" s="94">
        <f t="shared" si="33"/>
        <v>9.7222847369131671E-3</v>
      </c>
      <c r="F766" s="161">
        <v>1489.39</v>
      </c>
      <c r="G766" s="94">
        <f t="shared" si="34"/>
        <v>1.1360395474855123E-2</v>
      </c>
      <c r="J766" s="264">
        <v>384.94</v>
      </c>
      <c r="K766" s="94">
        <f t="shared" si="35"/>
        <v>-9.0614220254336963E-3</v>
      </c>
    </row>
    <row r="767" spans="2:11" x14ac:dyDescent="0.25">
      <c r="B767" s="263">
        <v>45524</v>
      </c>
      <c r="C767" s="162">
        <v>5597.12</v>
      </c>
      <c r="D767" s="94">
        <f t="shared" si="33"/>
        <v>-1.9845762938528466E-3</v>
      </c>
      <c r="F767" s="161">
        <v>1489.12</v>
      </c>
      <c r="G767" s="94">
        <f t="shared" si="34"/>
        <v>-1.8128226992275565E-4</v>
      </c>
      <c r="J767" s="264">
        <v>373.66</v>
      </c>
      <c r="K767" s="94">
        <f t="shared" si="35"/>
        <v>-2.9303268041772634E-2</v>
      </c>
    </row>
    <row r="768" spans="2:11" x14ac:dyDescent="0.25">
      <c r="B768" s="263">
        <v>45525</v>
      </c>
      <c r="C768" s="162">
        <v>5620.85</v>
      </c>
      <c r="D768" s="94">
        <f t="shared" si="33"/>
        <v>4.2396804070665706E-3</v>
      </c>
      <c r="F768" s="161">
        <v>1506.63</v>
      </c>
      <c r="G768" s="94">
        <f t="shared" si="34"/>
        <v>1.1758622542172636E-2</v>
      </c>
      <c r="J768" s="264">
        <v>383.98</v>
      </c>
      <c r="K768" s="94">
        <f t="shared" si="35"/>
        <v>2.7618690788417277E-2</v>
      </c>
    </row>
    <row r="769" spans="2:11" x14ac:dyDescent="0.25">
      <c r="B769" s="263">
        <v>45526</v>
      </c>
      <c r="C769" s="162">
        <v>5570.64</v>
      </c>
      <c r="D769" s="94">
        <f t="shared" si="33"/>
        <v>-8.9328126528905871E-3</v>
      </c>
      <c r="F769" s="161">
        <v>1478.44</v>
      </c>
      <c r="G769" s="94">
        <f t="shared" si="34"/>
        <v>-1.8710632338397648E-2</v>
      </c>
      <c r="J769" s="264">
        <v>383.57</v>
      </c>
      <c r="K769" s="94">
        <f t="shared" si="35"/>
        <v>-1.0677639460389132E-3</v>
      </c>
    </row>
    <row r="770" spans="2:11" x14ac:dyDescent="0.25">
      <c r="B770" s="263">
        <v>45527</v>
      </c>
      <c r="C770" s="162">
        <v>5634.61</v>
      </c>
      <c r="D770" s="94">
        <f t="shared" si="33"/>
        <v>1.1483420217425433E-2</v>
      </c>
      <c r="F770" s="161">
        <v>1503.57</v>
      </c>
      <c r="G770" s="94">
        <f t="shared" si="34"/>
        <v>1.6997646167582037E-2</v>
      </c>
      <c r="J770" s="264">
        <v>403.89</v>
      </c>
      <c r="K770" s="94">
        <f t="shared" si="35"/>
        <v>5.297598873738818E-2</v>
      </c>
    </row>
    <row r="771" spans="2:11" x14ac:dyDescent="0.25">
      <c r="B771" s="263">
        <v>45530</v>
      </c>
      <c r="C771" s="162">
        <v>5616.84</v>
      </c>
      <c r="D771" s="94">
        <f t="shared" si="33"/>
        <v>-3.1537231503155905E-3</v>
      </c>
      <c r="F771" s="161">
        <v>1491.43</v>
      </c>
      <c r="G771" s="94">
        <f t="shared" si="34"/>
        <v>-8.0741169350279085E-3</v>
      </c>
      <c r="J771" s="264">
        <v>404.27</v>
      </c>
      <c r="K771" s="94">
        <f t="shared" si="35"/>
        <v>9.4085023149870217E-4</v>
      </c>
    </row>
    <row r="772" spans="2:11" x14ac:dyDescent="0.25">
      <c r="B772" s="263">
        <v>45531</v>
      </c>
      <c r="C772" s="162">
        <v>5625.8</v>
      </c>
      <c r="D772" s="94">
        <f t="shared" si="33"/>
        <v>1.5952029967027936E-3</v>
      </c>
      <c r="F772" s="161">
        <v>1484.41</v>
      </c>
      <c r="G772" s="94">
        <f t="shared" si="34"/>
        <v>-4.7068920432068451E-3</v>
      </c>
      <c r="J772" s="264">
        <v>407.47</v>
      </c>
      <c r="K772" s="94">
        <f t="shared" si="35"/>
        <v>7.9155020159795697E-3</v>
      </c>
    </row>
    <row r="773" spans="2:11" x14ac:dyDescent="0.25">
      <c r="B773" s="263">
        <v>45532</v>
      </c>
      <c r="C773" s="162">
        <v>5592.18</v>
      </c>
      <c r="D773" s="94">
        <f t="shared" si="33"/>
        <v>-5.9760389633474187E-3</v>
      </c>
      <c r="F773" s="161">
        <v>1468.89</v>
      </c>
      <c r="G773" s="94">
        <f t="shared" si="34"/>
        <v>-1.0455332421635544E-2</v>
      </c>
      <c r="J773" s="264">
        <v>388.22</v>
      </c>
      <c r="K773" s="94">
        <f t="shared" si="35"/>
        <v>-4.72427417969421E-2</v>
      </c>
    </row>
    <row r="774" spans="2:11" x14ac:dyDescent="0.25">
      <c r="B774" s="263">
        <v>45533</v>
      </c>
      <c r="C774" s="162">
        <v>5591.96</v>
      </c>
      <c r="D774" s="94">
        <f t="shared" si="33"/>
        <v>-3.9340650694441592E-5</v>
      </c>
      <c r="F774" s="161">
        <v>1471.84</v>
      </c>
      <c r="G774" s="94">
        <f t="shared" si="34"/>
        <v>2.0083192070201594E-3</v>
      </c>
      <c r="J774" s="264">
        <v>386.03</v>
      </c>
      <c r="K774" s="94">
        <f t="shared" si="35"/>
        <v>-5.6411313172944899E-3</v>
      </c>
    </row>
    <row r="775" spans="2:11" x14ac:dyDescent="0.25">
      <c r="B775" s="263">
        <v>45534</v>
      </c>
      <c r="C775" s="162">
        <v>5648.4</v>
      </c>
      <c r="D775" s="94">
        <f t="shared" si="33"/>
        <v>1.0093062182132906E-2</v>
      </c>
      <c r="F775" s="161">
        <v>1500.16</v>
      </c>
      <c r="G775" s="94">
        <f t="shared" si="34"/>
        <v>1.924122187194266E-2</v>
      </c>
      <c r="J775" s="264">
        <v>386.11</v>
      </c>
      <c r="K775" s="94">
        <f t="shared" si="35"/>
        <v>2.0723777944731125E-4</v>
      </c>
    </row>
    <row r="776" spans="2:11" x14ac:dyDescent="0.25">
      <c r="B776" s="263">
        <v>45538</v>
      </c>
      <c r="C776" s="162">
        <v>5528.93</v>
      </c>
      <c r="D776" s="94">
        <f t="shared" si="33"/>
        <v>-2.1151122441753323E-2</v>
      </c>
      <c r="F776" s="161">
        <v>1479.3</v>
      </c>
      <c r="G776" s="94">
        <f t="shared" si="34"/>
        <v>-1.3905183447099012E-2</v>
      </c>
      <c r="J776" s="264">
        <v>372.89</v>
      </c>
      <c r="K776" s="94">
        <f t="shared" si="35"/>
        <v>-3.4238947450208612E-2</v>
      </c>
    </row>
    <row r="777" spans="2:11" x14ac:dyDescent="0.25">
      <c r="B777" s="263">
        <v>45539</v>
      </c>
      <c r="C777" s="162">
        <v>5520.07</v>
      </c>
      <c r="D777" s="94">
        <f t="shared" ref="D777:D840" si="36">C777/C776-1</f>
        <v>-1.6024800458679378E-3</v>
      </c>
      <c r="F777" s="161">
        <v>1478.49</v>
      </c>
      <c r="G777" s="94">
        <f t="shared" ref="G777:G840" si="37">F777/F776-1</f>
        <v>-5.4755627661728923E-4</v>
      </c>
      <c r="J777" s="264">
        <v>379.66</v>
      </c>
      <c r="K777" s="94">
        <f t="shared" si="35"/>
        <v>1.8155488213682514E-2</v>
      </c>
    </row>
    <row r="778" spans="2:11" x14ac:dyDescent="0.25">
      <c r="B778" s="263">
        <v>45540</v>
      </c>
      <c r="C778" s="162">
        <v>5503.41</v>
      </c>
      <c r="D778" s="94">
        <f t="shared" si="36"/>
        <v>-3.0180776693048417E-3</v>
      </c>
      <c r="F778" s="161">
        <v>1499.33</v>
      </c>
      <c r="G778" s="94">
        <f t="shared" si="37"/>
        <v>1.4095462262172731E-2</v>
      </c>
      <c r="J778" s="264">
        <v>373.35</v>
      </c>
      <c r="K778" s="94">
        <f t="shared" ref="K778:K841" si="38">J778/J777-1</f>
        <v>-1.6620133803929793E-2</v>
      </c>
    </row>
    <row r="779" spans="2:11" x14ac:dyDescent="0.25">
      <c r="B779" s="263">
        <v>45541</v>
      </c>
      <c r="C779" s="162">
        <v>5408.42</v>
      </c>
      <c r="D779" s="94">
        <f t="shared" si="36"/>
        <v>-1.726020776209658E-2</v>
      </c>
      <c r="F779" s="161">
        <v>1457.25</v>
      </c>
      <c r="G779" s="94">
        <f t="shared" si="37"/>
        <v>-2.8065869421674994E-2</v>
      </c>
      <c r="J779" s="264">
        <v>362.41</v>
      </c>
      <c r="K779" s="94">
        <f t="shared" si="38"/>
        <v>-2.9302263291817288E-2</v>
      </c>
    </row>
    <row r="780" spans="2:11" x14ac:dyDescent="0.25">
      <c r="B780" s="263">
        <v>45544</v>
      </c>
      <c r="C780" s="162">
        <v>5471.05</v>
      </c>
      <c r="D780" s="94">
        <f t="shared" si="36"/>
        <v>1.1580091782812829E-2</v>
      </c>
      <c r="F780" s="161">
        <v>1481</v>
      </c>
      <c r="G780" s="94">
        <f t="shared" si="37"/>
        <v>1.6297821238634436E-2</v>
      </c>
      <c r="J780" s="264">
        <v>364.91</v>
      </c>
      <c r="K780" s="94">
        <f t="shared" si="38"/>
        <v>6.8982643966777335E-3</v>
      </c>
    </row>
    <row r="781" spans="2:11" x14ac:dyDescent="0.25">
      <c r="B781" s="263">
        <v>45545</v>
      </c>
      <c r="C781" s="162">
        <v>5495.52</v>
      </c>
      <c r="D781" s="94">
        <f t="shared" si="36"/>
        <v>4.4726332239699573E-3</v>
      </c>
      <c r="F781" s="161">
        <v>1501.63</v>
      </c>
      <c r="G781" s="94">
        <f t="shared" si="37"/>
        <v>1.3929777177582814E-2</v>
      </c>
      <c r="J781" s="264">
        <v>379.93</v>
      </c>
      <c r="K781" s="94">
        <f t="shared" si="38"/>
        <v>4.1160834178290528E-2</v>
      </c>
    </row>
    <row r="782" spans="2:11" x14ac:dyDescent="0.25">
      <c r="B782" s="263">
        <v>45546</v>
      </c>
      <c r="C782" s="162">
        <v>5554.13</v>
      </c>
      <c r="D782" s="94">
        <f t="shared" si="36"/>
        <v>1.0665050805019227E-2</v>
      </c>
      <c r="F782" s="161">
        <v>1521.48</v>
      </c>
      <c r="G782" s="94">
        <f t="shared" si="37"/>
        <v>1.3218968720656754E-2</v>
      </c>
      <c r="J782" s="264">
        <v>391.13</v>
      </c>
      <c r="K782" s="94">
        <f t="shared" si="38"/>
        <v>2.9479114573737197E-2</v>
      </c>
    </row>
    <row r="783" spans="2:11" x14ac:dyDescent="0.25">
      <c r="B783" s="263">
        <v>45547</v>
      </c>
      <c r="C783" s="162">
        <v>5595.76</v>
      </c>
      <c r="D783" s="94">
        <f t="shared" si="36"/>
        <v>7.4953232999588337E-3</v>
      </c>
      <c r="F783" s="161">
        <v>1538.95</v>
      </c>
      <c r="G783" s="94">
        <f t="shared" si="37"/>
        <v>1.14822409758919E-2</v>
      </c>
      <c r="J783" s="264">
        <v>395.54</v>
      </c>
      <c r="K783" s="94">
        <f t="shared" si="38"/>
        <v>1.1275023649426119E-2</v>
      </c>
    </row>
    <row r="784" spans="2:11" x14ac:dyDescent="0.25">
      <c r="B784" s="263">
        <v>45548</v>
      </c>
      <c r="C784" s="162">
        <v>5626.02</v>
      </c>
      <c r="D784" s="94">
        <f t="shared" si="36"/>
        <v>5.4076658041088965E-3</v>
      </c>
      <c r="F784" s="161">
        <v>1546.78</v>
      </c>
      <c r="G784" s="94">
        <f t="shared" si="37"/>
        <v>5.0878845966404462E-3</v>
      </c>
      <c r="J784" s="264">
        <v>394.81</v>
      </c>
      <c r="K784" s="94">
        <f t="shared" si="38"/>
        <v>-1.8455781968954588E-3</v>
      </c>
    </row>
    <row r="785" spans="2:11" x14ac:dyDescent="0.25">
      <c r="B785" s="263">
        <v>45551</v>
      </c>
      <c r="C785" s="162">
        <v>5633.09</v>
      </c>
      <c r="D785" s="94">
        <f t="shared" si="36"/>
        <v>1.2566610143582846E-3</v>
      </c>
      <c r="F785" s="161">
        <v>1541.84</v>
      </c>
      <c r="G785" s="94">
        <f t="shared" si="37"/>
        <v>-3.1937314938129679E-3</v>
      </c>
      <c r="J785" s="264">
        <v>409</v>
      </c>
      <c r="K785" s="94">
        <f t="shared" si="38"/>
        <v>3.5941338871862349E-2</v>
      </c>
    </row>
    <row r="786" spans="2:11" x14ac:dyDescent="0.25">
      <c r="B786" s="263">
        <v>45552</v>
      </c>
      <c r="C786" s="162">
        <v>5634.58</v>
      </c>
      <c r="D786" s="94">
        <f t="shared" si="36"/>
        <v>2.6450846693371055E-4</v>
      </c>
      <c r="F786" s="161">
        <v>1551.35</v>
      </c>
      <c r="G786" s="94">
        <f t="shared" si="37"/>
        <v>6.1679551704456603E-3</v>
      </c>
      <c r="J786" s="264">
        <v>416.66</v>
      </c>
      <c r="K786" s="94">
        <f t="shared" si="38"/>
        <v>1.8728606356968269E-2</v>
      </c>
    </row>
    <row r="787" spans="2:11" x14ac:dyDescent="0.25">
      <c r="B787" s="263">
        <v>45553</v>
      </c>
      <c r="C787" s="162">
        <v>5618.26</v>
      </c>
      <c r="D787" s="94">
        <f t="shared" si="36"/>
        <v>-2.8964004415590328E-3</v>
      </c>
      <c r="F787" s="161">
        <v>1548.43</v>
      </c>
      <c r="G787" s="94">
        <f t="shared" si="37"/>
        <v>-1.8822316047312215E-3</v>
      </c>
      <c r="J787" s="264">
        <v>412.7</v>
      </c>
      <c r="K787" s="94">
        <f t="shared" si="38"/>
        <v>-9.5041520664331802E-3</v>
      </c>
    </row>
    <row r="788" spans="2:11" x14ac:dyDescent="0.25">
      <c r="B788" s="263">
        <v>45554</v>
      </c>
      <c r="C788" s="162">
        <v>5713.64</v>
      </c>
      <c r="D788" s="94">
        <f t="shared" si="36"/>
        <v>1.6976786407179478E-2</v>
      </c>
      <c r="F788" s="161">
        <v>1582.45</v>
      </c>
      <c r="G788" s="94">
        <f t="shared" si="37"/>
        <v>2.1970641230149246E-2</v>
      </c>
      <c r="J788" s="264">
        <v>421.53</v>
      </c>
      <c r="K788" s="94">
        <f t="shared" si="38"/>
        <v>2.1395686939665648E-2</v>
      </c>
    </row>
    <row r="789" spans="2:11" x14ac:dyDescent="0.25">
      <c r="B789" s="263">
        <v>45555</v>
      </c>
      <c r="C789" s="162">
        <v>5702.55</v>
      </c>
      <c r="D789" s="94">
        <f t="shared" si="36"/>
        <v>-1.9409693295342478E-3</v>
      </c>
      <c r="F789" s="161">
        <v>1582.22</v>
      </c>
      <c r="G789" s="94">
        <f t="shared" si="37"/>
        <v>-1.4534424468393148E-4</v>
      </c>
      <c r="J789" s="264">
        <v>419.9</v>
      </c>
      <c r="K789" s="94">
        <f t="shared" si="38"/>
        <v>-3.8668659407397055E-3</v>
      </c>
    </row>
    <row r="790" spans="2:11" x14ac:dyDescent="0.25">
      <c r="B790" s="263">
        <v>45558</v>
      </c>
      <c r="C790" s="162">
        <v>5718.57</v>
      </c>
      <c r="D790" s="94">
        <f t="shared" si="36"/>
        <v>2.8092695373120868E-3</v>
      </c>
      <c r="F790" s="161">
        <v>1602.81</v>
      </c>
      <c r="G790" s="94">
        <f t="shared" si="37"/>
        <v>1.3013360973821442E-2</v>
      </c>
      <c r="J790" s="264">
        <v>427.92</v>
      </c>
      <c r="K790" s="94">
        <f t="shared" si="38"/>
        <v>1.9099785663253321E-2</v>
      </c>
    </row>
    <row r="791" spans="2:11" x14ac:dyDescent="0.25">
      <c r="B791" s="263">
        <v>45559</v>
      </c>
      <c r="C791" s="162">
        <v>5732.93</v>
      </c>
      <c r="D791" s="94">
        <f t="shared" si="36"/>
        <v>2.5111172898120149E-3</v>
      </c>
      <c r="F791" s="161">
        <v>1615.03</v>
      </c>
      <c r="G791" s="94">
        <f t="shared" si="37"/>
        <v>7.6241101565375224E-3</v>
      </c>
      <c r="J791" s="264">
        <v>426.86</v>
      </c>
      <c r="K791" s="94">
        <f t="shared" si="38"/>
        <v>-2.4770985230884168E-3</v>
      </c>
    </row>
    <row r="792" spans="2:11" x14ac:dyDescent="0.25">
      <c r="B792" s="263">
        <v>45560</v>
      </c>
      <c r="C792" s="162">
        <v>5722.26</v>
      </c>
      <c r="D792" s="94">
        <f t="shared" si="36"/>
        <v>-1.8611774432969463E-3</v>
      </c>
      <c r="F792" s="161">
        <v>1608.97</v>
      </c>
      <c r="G792" s="94">
        <f t="shared" si="37"/>
        <v>-3.7522522801434199E-3</v>
      </c>
      <c r="J792" s="264">
        <v>422.55</v>
      </c>
      <c r="K792" s="94">
        <f t="shared" si="38"/>
        <v>-1.0096987302628535E-2</v>
      </c>
    </row>
    <row r="793" spans="2:11" x14ac:dyDescent="0.25">
      <c r="B793" s="263">
        <v>45561</v>
      </c>
      <c r="C793" s="162">
        <v>5745.37</v>
      </c>
      <c r="D793" s="94">
        <f t="shared" si="36"/>
        <v>4.0386141140038578E-3</v>
      </c>
      <c r="F793" s="161">
        <v>1611.15</v>
      </c>
      <c r="G793" s="94">
        <f t="shared" si="37"/>
        <v>1.3549040690628011E-3</v>
      </c>
      <c r="J793" s="264">
        <v>426.46</v>
      </c>
      <c r="K793" s="94">
        <f t="shared" si="38"/>
        <v>9.2533427996686068E-3</v>
      </c>
    </row>
    <row r="794" spans="2:11" x14ac:dyDescent="0.25">
      <c r="B794" s="263">
        <v>45562</v>
      </c>
      <c r="C794" s="162">
        <v>5738.17</v>
      </c>
      <c r="D794" s="94">
        <f t="shared" si="36"/>
        <v>-1.2531829977877607E-3</v>
      </c>
      <c r="F794" s="161">
        <v>1609.92</v>
      </c>
      <c r="G794" s="94">
        <f t="shared" si="37"/>
        <v>-7.6342984824506743E-4</v>
      </c>
      <c r="J794" s="264">
        <v>411.44</v>
      </c>
      <c r="K794" s="94">
        <f t="shared" si="38"/>
        <v>-3.5220184777001284E-2</v>
      </c>
    </row>
    <row r="795" spans="2:11" x14ac:dyDescent="0.25">
      <c r="B795" s="263">
        <v>45565</v>
      </c>
      <c r="C795" s="162">
        <v>5762.48</v>
      </c>
      <c r="D795" s="94">
        <f t="shared" si="36"/>
        <v>4.2365423122701085E-3</v>
      </c>
      <c r="F795" s="161">
        <v>1605.41</v>
      </c>
      <c r="G795" s="94">
        <f t="shared" si="37"/>
        <v>-2.8013814351023347E-3</v>
      </c>
      <c r="J795" s="264">
        <v>416.08</v>
      </c>
      <c r="K795" s="94">
        <f t="shared" si="38"/>
        <v>1.1277464514874547E-2</v>
      </c>
    </row>
    <row r="796" spans="2:11" x14ac:dyDescent="0.25">
      <c r="B796" s="263">
        <v>45566</v>
      </c>
      <c r="C796" s="162">
        <v>5708.75</v>
      </c>
      <c r="D796" s="94">
        <f t="shared" si="36"/>
        <v>-9.3241104524439677E-3</v>
      </c>
      <c r="F796" s="161">
        <v>1597.25</v>
      </c>
      <c r="G796" s="94">
        <f t="shared" si="37"/>
        <v>-5.0828137360550141E-3</v>
      </c>
      <c r="J796" s="264">
        <v>420.89</v>
      </c>
      <c r="K796" s="94">
        <f t="shared" si="38"/>
        <v>1.1560276869832631E-2</v>
      </c>
    </row>
    <row r="797" spans="2:11" x14ac:dyDescent="0.25">
      <c r="B797" s="263">
        <v>45567</v>
      </c>
      <c r="C797" s="162">
        <v>5709.54</v>
      </c>
      <c r="D797" s="94">
        <f t="shared" si="36"/>
        <v>1.3838405955768351E-4</v>
      </c>
      <c r="F797" s="161">
        <v>1584.84</v>
      </c>
      <c r="G797" s="94">
        <f t="shared" si="37"/>
        <v>-7.7696040068868655E-3</v>
      </c>
      <c r="J797" s="264">
        <v>422.95</v>
      </c>
      <c r="K797" s="94">
        <f t="shared" si="38"/>
        <v>4.8943904583145237E-3</v>
      </c>
    </row>
    <row r="798" spans="2:11" x14ac:dyDescent="0.25">
      <c r="B798" s="263">
        <v>45568</v>
      </c>
      <c r="C798" s="162">
        <v>5699.94</v>
      </c>
      <c r="D798" s="94">
        <f t="shared" si="36"/>
        <v>-1.681396399709989E-3</v>
      </c>
      <c r="F798" s="161">
        <v>1564.63</v>
      </c>
      <c r="G798" s="94">
        <f t="shared" si="37"/>
        <v>-1.2752075919335581E-2</v>
      </c>
      <c r="J798" s="264">
        <v>414.13</v>
      </c>
      <c r="K798" s="94">
        <f t="shared" si="38"/>
        <v>-2.0853528785908515E-2</v>
      </c>
    </row>
    <row r="799" spans="2:11" x14ac:dyDescent="0.25">
      <c r="B799" s="263">
        <v>45569</v>
      </c>
      <c r="C799" s="162">
        <v>5751.07</v>
      </c>
      <c r="D799" s="94">
        <f t="shared" si="36"/>
        <v>8.9702698624898325E-3</v>
      </c>
      <c r="F799" s="161">
        <v>1589.97</v>
      </c>
      <c r="G799" s="94">
        <f t="shared" si="37"/>
        <v>1.6195522264049522E-2</v>
      </c>
      <c r="J799" s="264">
        <v>414.99</v>
      </c>
      <c r="K799" s="94">
        <f t="shared" si="38"/>
        <v>2.0766426001497251E-3</v>
      </c>
    </row>
    <row r="800" spans="2:11" x14ac:dyDescent="0.25">
      <c r="B800" s="263">
        <v>45572</v>
      </c>
      <c r="C800" s="162">
        <v>5695.94</v>
      </c>
      <c r="D800" s="94">
        <f t="shared" si="36"/>
        <v>-9.5860422495291919E-3</v>
      </c>
      <c r="F800" s="161">
        <v>1559.45</v>
      </c>
      <c r="G800" s="94">
        <f t="shared" si="37"/>
        <v>-1.9195330729510629E-2</v>
      </c>
      <c r="J800" s="264">
        <v>396.08</v>
      </c>
      <c r="K800" s="94">
        <f t="shared" si="38"/>
        <v>-4.5567363068989675E-2</v>
      </c>
    </row>
    <row r="801" spans="2:11" x14ac:dyDescent="0.25">
      <c r="B801" s="263">
        <v>45573</v>
      </c>
      <c r="C801" s="162">
        <v>5751.13</v>
      </c>
      <c r="D801" s="94">
        <f t="shared" si="36"/>
        <v>9.68935768284096E-3</v>
      </c>
      <c r="F801" s="161">
        <v>1575.63</v>
      </c>
      <c r="G801" s="94">
        <f t="shared" si="37"/>
        <v>1.0375452884029635E-2</v>
      </c>
      <c r="J801" s="264">
        <v>403.52</v>
      </c>
      <c r="K801" s="94">
        <f t="shared" si="38"/>
        <v>1.8784084023429681E-2</v>
      </c>
    </row>
    <row r="802" spans="2:11" x14ac:dyDescent="0.25">
      <c r="B802" s="263">
        <v>45574</v>
      </c>
      <c r="C802" s="162">
        <v>5792.04</v>
      </c>
      <c r="D802" s="94">
        <f t="shared" si="36"/>
        <v>7.1133846739683815E-3</v>
      </c>
      <c r="F802" s="161">
        <v>1587.08</v>
      </c>
      <c r="G802" s="94">
        <f t="shared" si="37"/>
        <v>7.2669344960427651E-3</v>
      </c>
      <c r="J802" s="264">
        <v>402.79</v>
      </c>
      <c r="K802" s="94">
        <f t="shared" si="38"/>
        <v>-1.8090800951624519E-3</v>
      </c>
    </row>
    <row r="803" spans="2:11" x14ac:dyDescent="0.25">
      <c r="B803" s="263">
        <v>45575</v>
      </c>
      <c r="C803" s="162">
        <v>5780.05</v>
      </c>
      <c r="D803" s="94">
        <f t="shared" si="36"/>
        <v>-2.0700823889336917E-3</v>
      </c>
      <c r="F803" s="161">
        <v>1583</v>
      </c>
      <c r="G803" s="94">
        <f t="shared" si="37"/>
        <v>-2.5707588779393387E-3</v>
      </c>
      <c r="J803" s="264">
        <v>395</v>
      </c>
      <c r="K803" s="94">
        <f t="shared" si="38"/>
        <v>-1.9340102783088065E-2</v>
      </c>
    </row>
    <row r="804" spans="2:11" x14ac:dyDescent="0.25">
      <c r="B804" s="263">
        <v>45576</v>
      </c>
      <c r="C804" s="162">
        <v>5815.03</v>
      </c>
      <c r="D804" s="94">
        <f t="shared" si="36"/>
        <v>6.0518507625366702E-3</v>
      </c>
      <c r="F804" s="161">
        <v>1576.52</v>
      </c>
      <c r="G804" s="94">
        <f t="shared" si="37"/>
        <v>-4.093493367024692E-3</v>
      </c>
      <c r="J804" s="264">
        <v>403.82</v>
      </c>
      <c r="K804" s="94">
        <f t="shared" si="38"/>
        <v>2.2329113924050681E-2</v>
      </c>
    </row>
    <row r="805" spans="2:11" x14ac:dyDescent="0.25">
      <c r="B805" s="263">
        <v>45579</v>
      </c>
      <c r="C805" s="162">
        <v>5859.85</v>
      </c>
      <c r="D805" s="94">
        <f t="shared" si="36"/>
        <v>7.7076128584032677E-3</v>
      </c>
      <c r="F805" s="161">
        <v>1580.31</v>
      </c>
      <c r="G805" s="94">
        <f t="shared" si="37"/>
        <v>2.4040291274451953E-3</v>
      </c>
      <c r="J805" s="264">
        <v>399.05</v>
      </c>
      <c r="K805" s="94">
        <f t="shared" si="38"/>
        <v>-1.1812193551582362E-2</v>
      </c>
    </row>
    <row r="806" spans="2:11" x14ac:dyDescent="0.25">
      <c r="B806" s="263">
        <v>45580</v>
      </c>
      <c r="C806" s="162">
        <v>5815.26</v>
      </c>
      <c r="D806" s="94">
        <f t="shared" si="36"/>
        <v>-7.6094097971791674E-3</v>
      </c>
      <c r="F806" s="161">
        <v>1583.51</v>
      </c>
      <c r="G806" s="94">
        <f t="shared" si="37"/>
        <v>2.0249191614303275E-3</v>
      </c>
      <c r="J806" s="264">
        <v>393.05</v>
      </c>
      <c r="K806" s="94">
        <f t="shared" si="38"/>
        <v>-1.5035709810800602E-2</v>
      </c>
    </row>
    <row r="807" spans="2:11" x14ac:dyDescent="0.25">
      <c r="B807" s="263">
        <v>45581</v>
      </c>
      <c r="C807" s="162">
        <v>5842.47</v>
      </c>
      <c r="D807" s="94">
        <f t="shared" si="36"/>
        <v>4.6790685197222182E-3</v>
      </c>
      <c r="F807" s="161">
        <v>1588.58</v>
      </c>
      <c r="G807" s="94">
        <f t="shared" si="37"/>
        <v>3.2017480154844513E-3</v>
      </c>
      <c r="J807" s="264">
        <v>377.89</v>
      </c>
      <c r="K807" s="94">
        <f t="shared" si="38"/>
        <v>-3.8570156468642702E-2</v>
      </c>
    </row>
    <row r="808" spans="2:11" x14ac:dyDescent="0.25">
      <c r="B808" s="263">
        <v>45582</v>
      </c>
      <c r="C808" s="162">
        <v>5841.47</v>
      </c>
      <c r="D808" s="94">
        <f t="shared" si="36"/>
        <v>-1.7116048520571248E-4</v>
      </c>
      <c r="F808" s="161">
        <v>1588.6</v>
      </c>
      <c r="G808" s="94">
        <f t="shared" si="37"/>
        <v>1.258986012664387E-5</v>
      </c>
      <c r="J808" s="264">
        <v>373.55500000000001</v>
      </c>
      <c r="K808" s="94">
        <f t="shared" si="38"/>
        <v>-1.1471592262298547E-2</v>
      </c>
    </row>
    <row r="809" spans="2:11" x14ac:dyDescent="0.25">
      <c r="B809" s="263">
        <v>45583</v>
      </c>
      <c r="C809" s="162">
        <v>5864.67</v>
      </c>
      <c r="D809" s="94">
        <f t="shared" si="36"/>
        <v>3.9716030382763723E-3</v>
      </c>
      <c r="F809" s="161">
        <v>1595.78</v>
      </c>
      <c r="G809" s="94">
        <f t="shared" si="37"/>
        <v>4.5197028830417096E-3</v>
      </c>
      <c r="J809" s="264">
        <v>370.69</v>
      </c>
      <c r="K809" s="94">
        <f t="shared" si="38"/>
        <v>-7.6695533455581888E-3</v>
      </c>
    </row>
    <row r="810" spans="2:11" x14ac:dyDescent="0.25">
      <c r="B810" s="263">
        <v>45586</v>
      </c>
      <c r="C810" s="162">
        <v>5853.98</v>
      </c>
      <c r="D810" s="94">
        <f t="shared" si="36"/>
        <v>-1.8227794573267841E-3</v>
      </c>
      <c r="F810" s="161">
        <v>1585.54</v>
      </c>
      <c r="G810" s="94">
        <f t="shared" si="37"/>
        <v>-6.4169246387346668E-3</v>
      </c>
      <c r="J810" s="264">
        <v>368.44</v>
      </c>
      <c r="K810" s="94">
        <f t="shared" si="38"/>
        <v>-6.0697617955703942E-3</v>
      </c>
    </row>
    <row r="811" spans="2:11" x14ac:dyDescent="0.25">
      <c r="B811" s="263">
        <v>45587</v>
      </c>
      <c r="C811" s="162">
        <v>5851.2</v>
      </c>
      <c r="D811" s="94">
        <f t="shared" si="36"/>
        <v>-4.7489058725858069E-4</v>
      </c>
      <c r="F811" s="161">
        <v>1581.21</v>
      </c>
      <c r="G811" s="94">
        <f t="shared" si="37"/>
        <v>-2.7309307869873845E-3</v>
      </c>
      <c r="J811" s="264">
        <v>365.97</v>
      </c>
      <c r="K811" s="94">
        <f t="shared" si="38"/>
        <v>-6.7039409401801198E-3</v>
      </c>
    </row>
    <row r="812" spans="2:11" x14ac:dyDescent="0.25">
      <c r="B812" s="263">
        <v>45588</v>
      </c>
      <c r="C812" s="162">
        <v>5797.42</v>
      </c>
      <c r="D812" s="94">
        <f t="shared" si="36"/>
        <v>-9.1912770030079249E-3</v>
      </c>
      <c r="F812" s="161">
        <v>1552.44</v>
      </c>
      <c r="G812" s="94">
        <f t="shared" si="37"/>
        <v>-1.8194926670081712E-2</v>
      </c>
      <c r="J812" s="264">
        <v>366.61</v>
      </c>
      <c r="K812" s="94">
        <f t="shared" si="38"/>
        <v>1.7487772221767006E-3</v>
      </c>
    </row>
    <row r="813" spans="2:11" x14ac:dyDescent="0.25">
      <c r="B813" s="263">
        <v>45589</v>
      </c>
      <c r="C813" s="162">
        <v>5809.86</v>
      </c>
      <c r="D813" s="94">
        <f t="shared" si="36"/>
        <v>2.1457820892740731E-3</v>
      </c>
      <c r="F813" s="161">
        <v>1602.74</v>
      </c>
      <c r="G813" s="94">
        <f t="shared" si="37"/>
        <v>3.2400608075030313E-2</v>
      </c>
      <c r="J813" s="264">
        <v>359.27</v>
      </c>
      <c r="K813" s="94">
        <f t="shared" si="38"/>
        <v>-2.0021276015384282E-2</v>
      </c>
    </row>
    <row r="814" spans="2:11" x14ac:dyDescent="0.25">
      <c r="B814" s="263">
        <v>45590</v>
      </c>
      <c r="C814" s="162">
        <v>5808.12</v>
      </c>
      <c r="D814" s="94">
        <f t="shared" si="36"/>
        <v>-2.994908655286066E-4</v>
      </c>
      <c r="F814" s="161">
        <v>1610.51</v>
      </c>
      <c r="G814" s="94">
        <f t="shared" si="37"/>
        <v>4.84794788923959E-3</v>
      </c>
      <c r="J814" s="264">
        <v>360.38</v>
      </c>
      <c r="K814" s="94">
        <f t="shared" si="38"/>
        <v>3.08959835221434E-3</v>
      </c>
    </row>
    <row r="815" spans="2:11" x14ac:dyDescent="0.25">
      <c r="B815" s="263">
        <v>45593</v>
      </c>
      <c r="C815" s="162">
        <v>5823.52</v>
      </c>
      <c r="D815" s="94">
        <f t="shared" si="36"/>
        <v>2.6514603692762151E-3</v>
      </c>
      <c r="F815" s="161">
        <v>1612.48</v>
      </c>
      <c r="G815" s="94">
        <f t="shared" si="37"/>
        <v>1.2232150064266367E-3</v>
      </c>
      <c r="J815" s="264">
        <v>368.56</v>
      </c>
      <c r="K815" s="94">
        <f t="shared" si="38"/>
        <v>2.2698262944669478E-2</v>
      </c>
    </row>
    <row r="816" spans="2:11" x14ac:dyDescent="0.25">
      <c r="B816" s="263">
        <v>45594</v>
      </c>
      <c r="C816" s="162">
        <v>5832.92</v>
      </c>
      <c r="D816" s="94">
        <f t="shared" si="36"/>
        <v>1.6141440228589765E-3</v>
      </c>
      <c r="F816" s="161">
        <v>1609.26</v>
      </c>
      <c r="G816" s="94">
        <f t="shared" si="37"/>
        <v>-1.9969239928557814E-3</v>
      </c>
      <c r="J816" s="264">
        <v>368.94</v>
      </c>
      <c r="K816" s="94">
        <f t="shared" si="38"/>
        <v>1.0310397221620082E-3</v>
      </c>
    </row>
    <row r="817" spans="2:11" x14ac:dyDescent="0.25">
      <c r="B817" s="263">
        <v>45595</v>
      </c>
      <c r="C817" s="162">
        <v>5813.67</v>
      </c>
      <c r="D817" s="94">
        <f t="shared" si="36"/>
        <v>-3.3002338451409985E-3</v>
      </c>
      <c r="F817" s="161">
        <v>1609.44</v>
      </c>
      <c r="G817" s="94">
        <f t="shared" si="37"/>
        <v>1.1185265277213752E-4</v>
      </c>
      <c r="J817" s="264">
        <v>289.99</v>
      </c>
      <c r="K817" s="94">
        <f t="shared" si="38"/>
        <v>-0.2139914349216675</v>
      </c>
    </row>
    <row r="818" spans="2:11" x14ac:dyDescent="0.25">
      <c r="B818" s="263">
        <v>45596</v>
      </c>
      <c r="C818" s="162">
        <v>5705.45</v>
      </c>
      <c r="D818" s="94">
        <f t="shared" si="36"/>
        <v>-1.8614747655095742E-2</v>
      </c>
      <c r="F818" s="161">
        <v>1580.24</v>
      </c>
      <c r="G818" s="94">
        <f t="shared" si="37"/>
        <v>-1.8142956556317702E-2</v>
      </c>
      <c r="J818" s="264">
        <v>287.69</v>
      </c>
      <c r="K818" s="94">
        <f t="shared" si="38"/>
        <v>-7.9313079761371696E-3</v>
      </c>
    </row>
    <row r="819" spans="2:11" x14ac:dyDescent="0.25">
      <c r="B819" s="263">
        <v>45597</v>
      </c>
      <c r="C819" s="162">
        <v>5728.8</v>
      </c>
      <c r="D819" s="94">
        <f t="shared" si="36"/>
        <v>4.0925781489629109E-3</v>
      </c>
      <c r="F819" s="161">
        <v>1618.22</v>
      </c>
      <c r="G819" s="94">
        <f t="shared" si="37"/>
        <v>2.4034323900167021E-2</v>
      </c>
      <c r="J819" s="264">
        <v>296.94</v>
      </c>
      <c r="K819" s="94">
        <f t="shared" si="38"/>
        <v>3.2152664326184466E-2</v>
      </c>
    </row>
    <row r="820" spans="2:11" x14ac:dyDescent="0.25">
      <c r="B820" s="263">
        <v>45600</v>
      </c>
      <c r="C820" s="162">
        <v>5712.69</v>
      </c>
      <c r="D820" s="94">
        <f t="shared" si="36"/>
        <v>-2.8121072475911779E-3</v>
      </c>
      <c r="F820" s="161">
        <v>1608.37</v>
      </c>
      <c r="G820" s="94">
        <f t="shared" si="37"/>
        <v>-6.0869350273758949E-3</v>
      </c>
      <c r="J820" s="264">
        <v>297.18</v>
      </c>
      <c r="K820" s="94">
        <f t="shared" si="38"/>
        <v>8.082440897150267E-4</v>
      </c>
    </row>
    <row r="821" spans="2:11" x14ac:dyDescent="0.25">
      <c r="B821" s="263">
        <v>45601</v>
      </c>
      <c r="C821" s="162">
        <v>5782.76</v>
      </c>
      <c r="D821" s="94">
        <f t="shared" si="36"/>
        <v>1.2265675189796932E-2</v>
      </c>
      <c r="F821" s="161">
        <v>1637.75</v>
      </c>
      <c r="G821" s="94">
        <f t="shared" si="37"/>
        <v>1.8266941064556175E-2</v>
      </c>
      <c r="J821" s="264">
        <v>308.77</v>
      </c>
      <c r="K821" s="94">
        <f t="shared" si="38"/>
        <v>3.8999932700719997E-2</v>
      </c>
    </row>
    <row r="822" spans="2:11" x14ac:dyDescent="0.25">
      <c r="B822" s="263">
        <v>45602</v>
      </c>
      <c r="C822" s="162">
        <v>5929.04</v>
      </c>
      <c r="D822" s="94">
        <f t="shared" si="36"/>
        <v>2.5295879476236127E-2</v>
      </c>
      <c r="F822" s="161">
        <v>1697.06</v>
      </c>
      <c r="G822" s="94">
        <f t="shared" si="37"/>
        <v>3.6214318424667935E-2</v>
      </c>
      <c r="J822" s="264">
        <v>315.51</v>
      </c>
      <c r="K822" s="94">
        <f t="shared" si="38"/>
        <v>2.1828545519318565E-2</v>
      </c>
    </row>
    <row r="823" spans="2:11" x14ac:dyDescent="0.25">
      <c r="B823" s="263">
        <v>45603</v>
      </c>
      <c r="C823" s="162">
        <v>5973.1</v>
      </c>
      <c r="D823" s="94">
        <f t="shared" si="36"/>
        <v>7.4312198939459062E-3</v>
      </c>
      <c r="F823" s="161">
        <v>1720.39</v>
      </c>
      <c r="G823" s="94">
        <f t="shared" si="37"/>
        <v>1.3747304161314311E-2</v>
      </c>
      <c r="J823" s="264">
        <v>331.89</v>
      </c>
      <c r="K823" s="94">
        <f t="shared" si="38"/>
        <v>5.1915945611866521E-2</v>
      </c>
    </row>
    <row r="824" spans="2:11" x14ac:dyDescent="0.25">
      <c r="B824" s="263">
        <v>45604</v>
      </c>
      <c r="C824" s="162">
        <v>5995.54</v>
      </c>
      <c r="D824" s="94">
        <f t="shared" si="36"/>
        <v>3.7568431802581514E-3</v>
      </c>
      <c r="F824" s="161">
        <v>1741.51</v>
      </c>
      <c r="G824" s="94">
        <f t="shared" si="37"/>
        <v>1.2276286190921804E-2</v>
      </c>
      <c r="J824" s="264">
        <v>339.98</v>
      </c>
      <c r="K824" s="94">
        <f t="shared" si="38"/>
        <v>2.4375546114676627E-2</v>
      </c>
    </row>
    <row r="825" spans="2:11" x14ac:dyDescent="0.25">
      <c r="B825" s="263">
        <v>45607</v>
      </c>
      <c r="C825" s="162">
        <v>6001.35</v>
      </c>
      <c r="D825" s="94">
        <f t="shared" si="36"/>
        <v>9.6905366322297404E-4</v>
      </c>
      <c r="F825" s="161">
        <v>1772.07</v>
      </c>
      <c r="G825" s="94">
        <f t="shared" si="37"/>
        <v>1.7547989962733546E-2</v>
      </c>
      <c r="J825" s="264">
        <v>343.51</v>
      </c>
      <c r="K825" s="94">
        <f t="shared" si="38"/>
        <v>1.0382963703747139E-2</v>
      </c>
    </row>
    <row r="826" spans="2:11" x14ac:dyDescent="0.25">
      <c r="B826" s="263">
        <v>45608</v>
      </c>
      <c r="C826" s="162">
        <v>5983.99</v>
      </c>
      <c r="D826" s="94">
        <f t="shared" si="36"/>
        <v>-2.8926824797754769E-3</v>
      </c>
      <c r="F826" s="161">
        <v>1752.64</v>
      </c>
      <c r="G826" s="94">
        <f t="shared" si="37"/>
        <v>-1.0964578148718651E-2</v>
      </c>
      <c r="J826" s="264">
        <v>338.38</v>
      </c>
      <c r="K826" s="94">
        <f t="shared" si="38"/>
        <v>-1.4934063054932833E-2</v>
      </c>
    </row>
    <row r="827" spans="2:11" x14ac:dyDescent="0.25">
      <c r="B827" s="263">
        <v>45609</v>
      </c>
      <c r="C827" s="162">
        <v>5985.38</v>
      </c>
      <c r="D827" s="94">
        <f t="shared" si="36"/>
        <v>2.3228648443596178E-4</v>
      </c>
      <c r="F827" s="161">
        <v>1772.7</v>
      </c>
      <c r="G827" s="94">
        <f t="shared" si="37"/>
        <v>1.1445590651816717E-2</v>
      </c>
      <c r="J827" s="264">
        <v>339.75</v>
      </c>
      <c r="K827" s="94">
        <f t="shared" si="38"/>
        <v>4.0487026420001904E-3</v>
      </c>
    </row>
    <row r="828" spans="2:11" x14ac:dyDescent="0.25">
      <c r="B828" s="263">
        <v>45610</v>
      </c>
      <c r="C828" s="162">
        <v>5949.17</v>
      </c>
      <c r="D828" s="94">
        <f t="shared" si="36"/>
        <v>-6.0497412027306074E-3</v>
      </c>
      <c r="F828" s="161">
        <v>1745.48</v>
      </c>
      <c r="G828" s="94">
        <f t="shared" si="37"/>
        <v>-1.5355108027302999E-2</v>
      </c>
      <c r="J828" s="264">
        <v>330.63</v>
      </c>
      <c r="K828" s="94">
        <f t="shared" si="38"/>
        <v>-2.6843267108167757E-2</v>
      </c>
    </row>
    <row r="829" spans="2:11" x14ac:dyDescent="0.25">
      <c r="B829" s="263">
        <v>45611</v>
      </c>
      <c r="C829" s="162">
        <v>5870.62</v>
      </c>
      <c r="D829" s="94">
        <f t="shared" si="36"/>
        <v>-1.3203522508181798E-2</v>
      </c>
      <c r="F829" s="161">
        <v>1721.7</v>
      </c>
      <c r="G829" s="94">
        <f t="shared" si="37"/>
        <v>-1.3623759653505041E-2</v>
      </c>
      <c r="J829" s="264">
        <v>316.68</v>
      </c>
      <c r="K829" s="94">
        <f t="shared" si="38"/>
        <v>-4.2192178568188021E-2</v>
      </c>
    </row>
    <row r="830" spans="2:11" x14ac:dyDescent="0.25">
      <c r="B830" s="263">
        <v>45614</v>
      </c>
      <c r="C830" s="162">
        <v>5893.62</v>
      </c>
      <c r="D830" s="94">
        <f t="shared" si="36"/>
        <v>3.9178144727474162E-3</v>
      </c>
      <c r="F830" s="161">
        <v>1736.3</v>
      </c>
      <c r="G830" s="94">
        <f t="shared" si="37"/>
        <v>8.4799907068593416E-3</v>
      </c>
      <c r="J830" s="264">
        <v>326.63499999999999</v>
      </c>
      <c r="K830" s="94">
        <f t="shared" si="38"/>
        <v>3.1435518504483895E-2</v>
      </c>
    </row>
    <row r="831" spans="2:11" x14ac:dyDescent="0.25">
      <c r="B831" s="263">
        <v>45615</v>
      </c>
      <c r="C831" s="162">
        <v>5916.98</v>
      </c>
      <c r="D831" s="94">
        <f t="shared" si="36"/>
        <v>3.9636081050355987E-3</v>
      </c>
      <c r="F831" s="161">
        <v>1743.67</v>
      </c>
      <c r="G831" s="94">
        <f t="shared" si="37"/>
        <v>4.2446581811899087E-3</v>
      </c>
      <c r="J831" s="264">
        <v>335.58</v>
      </c>
      <c r="K831" s="94">
        <f t="shared" si="38"/>
        <v>2.7385307759425714E-2</v>
      </c>
    </row>
    <row r="832" spans="2:11" x14ac:dyDescent="0.25">
      <c r="B832" s="263">
        <v>45616</v>
      </c>
      <c r="C832" s="162">
        <v>5917.11</v>
      </c>
      <c r="D832" s="94">
        <f t="shared" si="36"/>
        <v>2.1970667468895755E-5</v>
      </c>
      <c r="F832" s="161">
        <v>1733.68</v>
      </c>
      <c r="G832" s="94">
        <f t="shared" si="37"/>
        <v>-5.7292951074457976E-3</v>
      </c>
      <c r="J832" s="264">
        <v>333.20499999999998</v>
      </c>
      <c r="K832" s="94">
        <f t="shared" si="38"/>
        <v>-7.0772990047082152E-3</v>
      </c>
    </row>
    <row r="833" spans="2:11" x14ac:dyDescent="0.25">
      <c r="B833" s="263">
        <v>45617</v>
      </c>
      <c r="C833" s="162">
        <v>5948.71</v>
      </c>
      <c r="D833" s="94">
        <f t="shared" si="36"/>
        <v>5.3404449131417842E-3</v>
      </c>
      <c r="F833" s="161">
        <v>1728.46</v>
      </c>
      <c r="G833" s="94">
        <f t="shared" si="37"/>
        <v>-3.0109362742836154E-3</v>
      </c>
      <c r="J833" s="264">
        <v>338.41</v>
      </c>
      <c r="K833" s="94">
        <f t="shared" si="38"/>
        <v>1.5621014090424934E-2</v>
      </c>
    </row>
    <row r="834" spans="2:11" x14ac:dyDescent="0.25">
      <c r="B834" s="263">
        <v>45618</v>
      </c>
      <c r="C834" s="162">
        <v>5969.34</v>
      </c>
      <c r="D834" s="94">
        <f t="shared" si="36"/>
        <v>3.4679787718681077E-3</v>
      </c>
      <c r="F834" s="161">
        <v>1748.9</v>
      </c>
      <c r="G834" s="94">
        <f t="shared" si="37"/>
        <v>1.1825555696978851E-2</v>
      </c>
      <c r="J834" s="264">
        <v>337.6</v>
      </c>
      <c r="K834" s="94">
        <f t="shared" si="38"/>
        <v>-2.3935462900032123E-3</v>
      </c>
    </row>
    <row r="835" spans="2:11" x14ac:dyDescent="0.25">
      <c r="B835" s="263">
        <v>45621</v>
      </c>
      <c r="C835" s="162">
        <v>5987.37</v>
      </c>
      <c r="D835" s="94">
        <f t="shared" si="36"/>
        <v>3.0204344198856425E-3</v>
      </c>
      <c r="F835" s="161">
        <v>1766.25</v>
      </c>
      <c r="G835" s="94">
        <f t="shared" si="37"/>
        <v>9.9205214706385991E-3</v>
      </c>
      <c r="J835" s="264">
        <v>337.16</v>
      </c>
      <c r="K835" s="94">
        <f t="shared" si="38"/>
        <v>-1.3033175355450233E-3</v>
      </c>
    </row>
    <row r="836" spans="2:11" x14ac:dyDescent="0.25">
      <c r="B836" s="263">
        <v>45622</v>
      </c>
      <c r="C836" s="162">
        <v>6021.63</v>
      </c>
      <c r="D836" s="94">
        <f t="shared" si="36"/>
        <v>5.722044904524104E-3</v>
      </c>
      <c r="F836" s="161">
        <v>1782.17</v>
      </c>
      <c r="G836" s="94">
        <f t="shared" si="37"/>
        <v>9.0134465675868469E-3</v>
      </c>
      <c r="J836" s="264">
        <v>338.79</v>
      </c>
      <c r="K836" s="94">
        <f t="shared" si="38"/>
        <v>4.8344999406808586E-3</v>
      </c>
    </row>
    <row r="837" spans="2:11" x14ac:dyDescent="0.25">
      <c r="B837" s="263">
        <v>45623</v>
      </c>
      <c r="C837" s="162">
        <v>5998.74</v>
      </c>
      <c r="D837" s="94">
        <f t="shared" si="36"/>
        <v>-3.8012963267421984E-3</v>
      </c>
      <c r="F837" s="161">
        <v>1769.79</v>
      </c>
      <c r="G837" s="94">
        <f t="shared" si="37"/>
        <v>-6.9465875870428073E-3</v>
      </c>
      <c r="J837" s="264">
        <v>331.27</v>
      </c>
      <c r="K837" s="94">
        <f t="shared" si="38"/>
        <v>-2.2196640987042215E-2</v>
      </c>
    </row>
    <row r="838" spans="2:11" x14ac:dyDescent="0.25">
      <c r="B838" s="263">
        <v>45625</v>
      </c>
      <c r="C838" s="162">
        <v>6032.38</v>
      </c>
      <c r="D838" s="94">
        <f t="shared" si="36"/>
        <v>5.6078443139726541E-3</v>
      </c>
      <c r="F838" s="161">
        <v>1789.44</v>
      </c>
      <c r="G838" s="94">
        <f t="shared" si="37"/>
        <v>1.1103012221788999E-2</v>
      </c>
      <c r="J838" s="264">
        <v>328.77</v>
      </c>
      <c r="K838" s="94">
        <f t="shared" si="38"/>
        <v>-7.5467141606544441E-3</v>
      </c>
    </row>
    <row r="839" spans="2:11" x14ac:dyDescent="0.25">
      <c r="B839" s="263">
        <v>45628</v>
      </c>
      <c r="C839" s="162">
        <v>6047.15</v>
      </c>
      <c r="D839" s="94">
        <f t="shared" si="36"/>
        <v>2.4484531809998433E-3</v>
      </c>
      <c r="F839" s="161">
        <v>1808.41</v>
      </c>
      <c r="G839" s="94">
        <f t="shared" si="37"/>
        <v>1.0601081902718246E-2</v>
      </c>
      <c r="J839" s="264">
        <v>324.83999999999997</v>
      </c>
      <c r="K839" s="94">
        <f t="shared" si="38"/>
        <v>-1.1953645405602731E-2</v>
      </c>
    </row>
    <row r="840" spans="2:11" x14ac:dyDescent="0.25">
      <c r="B840" s="263">
        <v>45629</v>
      </c>
      <c r="C840" s="162">
        <v>6049.88</v>
      </c>
      <c r="D840" s="94">
        <f t="shared" si="36"/>
        <v>4.5145233705135013E-4</v>
      </c>
      <c r="F840" s="161">
        <v>1810.82</v>
      </c>
      <c r="G840" s="94">
        <f t="shared" si="37"/>
        <v>1.3326623940366211E-3</v>
      </c>
      <c r="J840" s="264">
        <v>327.55</v>
      </c>
      <c r="K840" s="94">
        <f t="shared" si="38"/>
        <v>8.3425686491811479E-3</v>
      </c>
    </row>
    <row r="841" spans="2:11" x14ac:dyDescent="0.25">
      <c r="B841" s="263">
        <v>45630</v>
      </c>
      <c r="C841" s="162">
        <v>6086.49</v>
      </c>
      <c r="D841" s="94">
        <f t="shared" ref="D841:D904" si="39">C841/C840-1</f>
        <v>6.0513596963907013E-3</v>
      </c>
      <c r="F841" s="161">
        <v>1832.47</v>
      </c>
      <c r="G841" s="94">
        <f t="shared" ref="G841:G904" si="40">F841/F840-1</f>
        <v>1.195590947747438E-2</v>
      </c>
      <c r="J841" s="264">
        <v>337.25</v>
      </c>
      <c r="K841" s="94">
        <f t="shared" si="38"/>
        <v>2.9613799419935916E-2</v>
      </c>
    </row>
    <row r="842" spans="2:11" x14ac:dyDescent="0.25">
      <c r="B842" s="263">
        <v>45631</v>
      </c>
      <c r="C842" s="162">
        <v>6075.11</v>
      </c>
      <c r="D842" s="94">
        <f t="shared" si="39"/>
        <v>-1.8697147288503357E-3</v>
      </c>
      <c r="F842" s="161">
        <v>1849.89</v>
      </c>
      <c r="G842" s="94">
        <f t="shared" si="40"/>
        <v>9.5062947824522404E-3</v>
      </c>
      <c r="J842" s="264">
        <v>337.3</v>
      </c>
      <c r="K842" s="94">
        <f t="shared" ref="K842:K905" si="41">J842/J841-1</f>
        <v>1.482579688658614E-4</v>
      </c>
    </row>
    <row r="843" spans="2:11" x14ac:dyDescent="0.25">
      <c r="B843" s="263">
        <v>45632</v>
      </c>
      <c r="C843" s="162">
        <v>6090.27</v>
      </c>
      <c r="D843" s="94">
        <f t="shared" si="39"/>
        <v>2.4954280663231909E-3</v>
      </c>
      <c r="F843" s="161">
        <v>1894.19</v>
      </c>
      <c r="G843" s="94">
        <f t="shared" si="40"/>
        <v>2.3947369843612343E-2</v>
      </c>
      <c r="J843" s="264">
        <v>340.09</v>
      </c>
      <c r="K843" s="94">
        <f t="shared" si="41"/>
        <v>8.2715683367919901E-3</v>
      </c>
    </row>
    <row r="844" spans="2:11" x14ac:dyDescent="0.25">
      <c r="B844" s="263">
        <v>45635</v>
      </c>
      <c r="C844" s="162">
        <v>6052.85</v>
      </c>
      <c r="D844" s="94">
        <f t="shared" si="39"/>
        <v>-6.1442267748391677E-3</v>
      </c>
      <c r="F844" s="161">
        <v>1887.88</v>
      </c>
      <c r="G844" s="94">
        <f t="shared" si="40"/>
        <v>-3.3312392104276611E-3</v>
      </c>
      <c r="J844" s="264">
        <v>328.54</v>
      </c>
      <c r="K844" s="94">
        <f t="shared" si="41"/>
        <v>-3.3961598400423232E-2</v>
      </c>
    </row>
    <row r="845" spans="2:11" x14ac:dyDescent="0.25">
      <c r="B845" s="263">
        <v>45636</v>
      </c>
      <c r="C845" s="162">
        <v>6034.91</v>
      </c>
      <c r="D845" s="94">
        <f t="shared" si="39"/>
        <v>-2.9638930421207466E-3</v>
      </c>
      <c r="F845" s="161">
        <v>1890.55</v>
      </c>
      <c r="G845" s="94">
        <f t="shared" si="40"/>
        <v>1.4142848062375091E-3</v>
      </c>
      <c r="J845" s="264">
        <v>327.8</v>
      </c>
      <c r="K845" s="94">
        <f t="shared" si="41"/>
        <v>-2.2523893589821986E-3</v>
      </c>
    </row>
    <row r="846" spans="2:11" x14ac:dyDescent="0.25">
      <c r="B846" s="263">
        <v>45637</v>
      </c>
      <c r="C846" s="162">
        <v>6084.19</v>
      </c>
      <c r="D846" s="94">
        <f t="shared" si="39"/>
        <v>8.1658218598121834E-3</v>
      </c>
      <c r="F846" s="161">
        <v>1928.82</v>
      </c>
      <c r="G846" s="94">
        <f t="shared" si="40"/>
        <v>2.0242786490703768E-2</v>
      </c>
      <c r="J846" s="264">
        <v>330.17</v>
      </c>
      <c r="K846" s="94">
        <f t="shared" si="41"/>
        <v>7.2300183038438437E-3</v>
      </c>
    </row>
    <row r="847" spans="2:11" x14ac:dyDescent="0.25">
      <c r="B847" s="263">
        <v>45638</v>
      </c>
      <c r="C847" s="162">
        <v>6051.25</v>
      </c>
      <c r="D847" s="94">
        <f t="shared" si="39"/>
        <v>-5.4140321061636465E-3</v>
      </c>
      <c r="F847" s="161">
        <v>1912.67</v>
      </c>
      <c r="G847" s="94">
        <f t="shared" si="40"/>
        <v>-8.3729948880661986E-3</v>
      </c>
      <c r="J847" s="264">
        <v>322.89</v>
      </c>
      <c r="K847" s="94">
        <f t="shared" si="41"/>
        <v>-2.2049247357421975E-2</v>
      </c>
    </row>
    <row r="848" spans="2:11" x14ac:dyDescent="0.25">
      <c r="B848" s="263">
        <v>45639</v>
      </c>
      <c r="C848" s="162">
        <v>6051.09</v>
      </c>
      <c r="D848" s="94">
        <f t="shared" si="39"/>
        <v>-2.6440818012729572E-5</v>
      </c>
      <c r="F848" s="161">
        <v>1920.7</v>
      </c>
      <c r="G848" s="94">
        <f t="shared" si="40"/>
        <v>4.1983196264907541E-3</v>
      </c>
      <c r="J848" s="264">
        <v>301.33</v>
      </c>
      <c r="K848" s="94">
        <f t="shared" si="41"/>
        <v>-6.6771965684908174E-2</v>
      </c>
    </row>
    <row r="849" spans="2:11" x14ac:dyDescent="0.25">
      <c r="B849" s="263">
        <v>45642</v>
      </c>
      <c r="C849" s="162">
        <v>6074.08</v>
      </c>
      <c r="D849" s="94">
        <f t="shared" si="39"/>
        <v>3.7993154952247199E-3</v>
      </c>
      <c r="F849" s="161">
        <v>1954.2</v>
      </c>
      <c r="G849" s="94">
        <f t="shared" si="40"/>
        <v>1.744155776539813E-2</v>
      </c>
      <c r="J849" s="264">
        <v>300.31</v>
      </c>
      <c r="K849" s="94">
        <f t="shared" si="41"/>
        <v>-3.3849931968273905E-3</v>
      </c>
    </row>
    <row r="850" spans="2:11" x14ac:dyDescent="0.25">
      <c r="B850" s="263">
        <v>45643</v>
      </c>
      <c r="C850" s="162">
        <v>6050.61</v>
      </c>
      <c r="D850" s="94">
        <f t="shared" si="39"/>
        <v>-3.8639596449174807E-3</v>
      </c>
      <c r="F850" s="161">
        <v>1959.72</v>
      </c>
      <c r="G850" s="94">
        <f t="shared" si="40"/>
        <v>2.8246852932145572E-3</v>
      </c>
      <c r="J850" s="264">
        <v>295.83999999999997</v>
      </c>
      <c r="K850" s="94">
        <f t="shared" si="41"/>
        <v>-1.4884619226799067E-2</v>
      </c>
    </row>
    <row r="851" spans="2:11" x14ac:dyDescent="0.25">
      <c r="B851" s="263">
        <v>45644</v>
      </c>
      <c r="C851" s="162">
        <v>5872.16</v>
      </c>
      <c r="D851" s="94">
        <f t="shared" si="39"/>
        <v>-2.9492894104891865E-2</v>
      </c>
      <c r="F851" s="161">
        <v>1866.84</v>
      </c>
      <c r="G851" s="94">
        <f t="shared" si="40"/>
        <v>-4.7394525748576388E-2</v>
      </c>
      <c r="J851" s="264">
        <v>281.08999999999997</v>
      </c>
      <c r="K851" s="94">
        <f t="shared" si="41"/>
        <v>-4.9858031368307243E-2</v>
      </c>
    </row>
    <row r="852" spans="2:11" x14ac:dyDescent="0.25">
      <c r="B852" s="263">
        <v>45645</v>
      </c>
      <c r="C852" s="162">
        <v>5867.08</v>
      </c>
      <c r="D852" s="94">
        <f t="shared" si="39"/>
        <v>-8.6509904362275236E-4</v>
      </c>
      <c r="F852" s="161">
        <v>1868.28</v>
      </c>
      <c r="G852" s="94">
        <f t="shared" si="40"/>
        <v>7.7135694542662669E-4</v>
      </c>
      <c r="J852" s="264">
        <v>290.36</v>
      </c>
      <c r="K852" s="94">
        <f t="shared" si="41"/>
        <v>3.2978761250844979E-2</v>
      </c>
    </row>
    <row r="853" spans="2:11" x14ac:dyDescent="0.25">
      <c r="B853" s="263">
        <v>45646</v>
      </c>
      <c r="C853" s="162">
        <v>5930.85</v>
      </c>
      <c r="D853" s="94">
        <f t="shared" si="39"/>
        <v>1.0869120584686254E-2</v>
      </c>
      <c r="F853" s="161">
        <v>1870.88</v>
      </c>
      <c r="G853" s="94">
        <f t="shared" si="40"/>
        <v>1.3916543558782912E-3</v>
      </c>
      <c r="J853" s="264">
        <v>290.67</v>
      </c>
      <c r="K853" s="94">
        <f t="shared" si="41"/>
        <v>1.0676401708225036E-3</v>
      </c>
    </row>
    <row r="854" spans="2:11" x14ac:dyDescent="0.25">
      <c r="B854" s="263">
        <v>45649</v>
      </c>
      <c r="C854" s="162">
        <v>5974.07</v>
      </c>
      <c r="D854" s="94">
        <f t="shared" si="39"/>
        <v>7.2873196927927264E-3</v>
      </c>
      <c r="F854" s="161">
        <v>1878.65</v>
      </c>
      <c r="G854" s="94">
        <f t="shared" si="40"/>
        <v>4.1531258017617478E-3</v>
      </c>
      <c r="J854" s="264">
        <v>290.75</v>
      </c>
      <c r="K854" s="94">
        <f t="shared" si="41"/>
        <v>2.7522620153441757E-4</v>
      </c>
    </row>
    <row r="855" spans="2:11" x14ac:dyDescent="0.25">
      <c r="B855" s="263">
        <v>45650</v>
      </c>
      <c r="C855" s="162">
        <v>6040.04</v>
      </c>
      <c r="D855" s="94">
        <f t="shared" si="39"/>
        <v>1.1042722967758989E-2</v>
      </c>
      <c r="F855" s="161">
        <v>1927.87</v>
      </c>
      <c r="G855" s="94">
        <f t="shared" si="40"/>
        <v>2.6199664652809096E-2</v>
      </c>
      <c r="J855" s="264">
        <v>291.75</v>
      </c>
      <c r="K855" s="94">
        <f t="shared" si="41"/>
        <v>3.4393809114359186E-3</v>
      </c>
    </row>
    <row r="856" spans="2:11" x14ac:dyDescent="0.25">
      <c r="B856" s="263">
        <v>45652</v>
      </c>
      <c r="C856" s="162">
        <v>6037.59</v>
      </c>
      <c r="D856" s="94">
        <f t="shared" si="39"/>
        <v>-4.0562645280495246E-4</v>
      </c>
      <c r="F856" s="161">
        <v>1915.53</v>
      </c>
      <c r="G856" s="94">
        <f t="shared" si="40"/>
        <v>-6.4008465301083062E-3</v>
      </c>
      <c r="J856" s="264">
        <v>290.85000000000002</v>
      </c>
      <c r="K856" s="94">
        <f t="shared" si="41"/>
        <v>-3.0848329048842604E-3</v>
      </c>
    </row>
    <row r="857" spans="2:11" x14ac:dyDescent="0.25">
      <c r="B857" s="263">
        <v>45653</v>
      </c>
      <c r="C857" s="162">
        <v>5970.84</v>
      </c>
      <c r="D857" s="94">
        <f t="shared" si="39"/>
        <v>-1.1055735815118317E-2</v>
      </c>
      <c r="F857" s="161">
        <v>1879.21</v>
      </c>
      <c r="G857" s="94">
        <f t="shared" si="40"/>
        <v>-1.8960809801986889E-2</v>
      </c>
      <c r="J857" s="264">
        <v>285.37</v>
      </c>
      <c r="K857" s="94">
        <f t="shared" si="41"/>
        <v>-1.8841327144576314E-2</v>
      </c>
    </row>
    <row r="858" spans="2:11" x14ac:dyDescent="0.25">
      <c r="B858" s="263">
        <v>45656</v>
      </c>
      <c r="C858" s="162">
        <v>5906.94</v>
      </c>
      <c r="D858" s="94">
        <f t="shared" si="39"/>
        <v>-1.0702011777237508E-2</v>
      </c>
      <c r="F858" s="161">
        <v>1849.31</v>
      </c>
      <c r="G858" s="94">
        <f t="shared" si="40"/>
        <v>-1.5910941299801529E-2</v>
      </c>
      <c r="J858" s="264">
        <v>287.16000000000003</v>
      </c>
      <c r="K858" s="94">
        <f t="shared" si="41"/>
        <v>6.2725584329117456E-3</v>
      </c>
    </row>
    <row r="859" spans="2:11" x14ac:dyDescent="0.25">
      <c r="B859" s="263">
        <v>45657</v>
      </c>
      <c r="C859" s="162">
        <v>5881.63</v>
      </c>
      <c r="D859" s="94">
        <f t="shared" si="39"/>
        <v>-4.2847904329482711E-3</v>
      </c>
      <c r="F859" s="161">
        <v>1831.16</v>
      </c>
      <c r="G859" s="94">
        <f t="shared" si="40"/>
        <v>-9.8144713433658826E-3</v>
      </c>
      <c r="J859" s="264">
        <v>284.2</v>
      </c>
      <c r="K859" s="94">
        <f t="shared" si="41"/>
        <v>-1.030784231787174E-2</v>
      </c>
    </row>
    <row r="860" spans="2:11" x14ac:dyDescent="0.25">
      <c r="B860" s="263">
        <v>45659</v>
      </c>
      <c r="C860" s="162">
        <v>5868.55</v>
      </c>
      <c r="D860" s="94">
        <f t="shared" si="39"/>
        <v>-2.2238733140302891E-3</v>
      </c>
      <c r="F860" s="161">
        <v>1807.98</v>
      </c>
      <c r="G860" s="94">
        <f t="shared" si="40"/>
        <v>-1.2658642609056581E-2</v>
      </c>
      <c r="J860" s="264">
        <v>292.06</v>
      </c>
      <c r="K860" s="94">
        <f t="shared" si="41"/>
        <v>2.7656579873328591E-2</v>
      </c>
    </row>
    <row r="861" spans="2:11" x14ac:dyDescent="0.25">
      <c r="B861" s="263">
        <v>45660</v>
      </c>
      <c r="C861" s="162">
        <v>5942.47</v>
      </c>
      <c r="D861" s="94">
        <f t="shared" si="39"/>
        <v>1.2595956411720177E-2</v>
      </c>
      <c r="F861" s="161">
        <v>1851.81</v>
      </c>
      <c r="G861" s="94">
        <f t="shared" si="40"/>
        <v>2.4242524806690202E-2</v>
      </c>
      <c r="J861" s="264">
        <v>298.01</v>
      </c>
      <c r="K861" s="94">
        <f t="shared" si="41"/>
        <v>2.037252619324792E-2</v>
      </c>
    </row>
    <row r="862" spans="2:11" x14ac:dyDescent="0.25">
      <c r="B862" s="263">
        <v>45663</v>
      </c>
      <c r="C862" s="162">
        <v>5975.38</v>
      </c>
      <c r="D862" s="94">
        <f t="shared" si="39"/>
        <v>5.5381011599553442E-3</v>
      </c>
      <c r="F862" s="161">
        <v>1863.12</v>
      </c>
      <c r="G862" s="94">
        <f t="shared" si="40"/>
        <v>6.1075380303594606E-3</v>
      </c>
      <c r="J862" s="264">
        <v>290.64999999999998</v>
      </c>
      <c r="K862" s="94">
        <f t="shared" si="41"/>
        <v>-2.469715781349624E-2</v>
      </c>
    </row>
    <row r="863" spans="2:11" x14ac:dyDescent="0.25">
      <c r="B863" s="263">
        <v>45664</v>
      </c>
      <c r="C863" s="162">
        <v>5909.03</v>
      </c>
      <c r="D863" s="94">
        <f t="shared" si="39"/>
        <v>-1.1103896321238205E-2</v>
      </c>
      <c r="F863" s="161">
        <v>1821.93</v>
      </c>
      <c r="G863" s="94">
        <f t="shared" si="40"/>
        <v>-2.210807677444282E-2</v>
      </c>
      <c r="J863" s="264">
        <v>282.23</v>
      </c>
      <c r="K863" s="94">
        <f t="shared" si="41"/>
        <v>-2.8969551006364891E-2</v>
      </c>
    </row>
    <row r="864" spans="2:11" x14ac:dyDescent="0.25">
      <c r="B864" s="263">
        <v>45665</v>
      </c>
      <c r="C864" s="162">
        <v>5918.25</v>
      </c>
      <c r="D864" s="94">
        <f t="shared" si="39"/>
        <v>1.5603237756451893E-3</v>
      </c>
      <c r="F864" s="161">
        <v>1826.35</v>
      </c>
      <c r="G864" s="94">
        <f t="shared" si="40"/>
        <v>2.4259988034665003E-3</v>
      </c>
      <c r="J864" s="264">
        <v>278.47000000000003</v>
      </c>
      <c r="K864" s="94">
        <f t="shared" si="41"/>
        <v>-1.3322467491053369E-2</v>
      </c>
    </row>
    <row r="865" spans="2:11" x14ac:dyDescent="0.25">
      <c r="B865" s="263">
        <v>45667</v>
      </c>
      <c r="C865" s="162">
        <v>5827.04</v>
      </c>
      <c r="D865" s="94">
        <f t="shared" si="39"/>
        <v>-1.5411650403413191E-2</v>
      </c>
      <c r="F865" s="161">
        <v>1808.57</v>
      </c>
      <c r="G865" s="94">
        <f t="shared" si="40"/>
        <v>-9.7352643250198101E-3</v>
      </c>
      <c r="J865" s="264">
        <v>274.69</v>
      </c>
      <c r="K865" s="94">
        <f t="shared" si="41"/>
        <v>-1.3574173160484149E-2</v>
      </c>
    </row>
    <row r="866" spans="2:11" x14ac:dyDescent="0.25">
      <c r="B866" s="263">
        <v>45670</v>
      </c>
      <c r="C866" s="162">
        <v>5836.22</v>
      </c>
      <c r="D866" s="94">
        <f t="shared" si="39"/>
        <v>1.5754139322881056E-3</v>
      </c>
      <c r="F866" s="161">
        <v>1817.17</v>
      </c>
      <c r="G866" s="94">
        <f t="shared" si="40"/>
        <v>4.7551380372339302E-3</v>
      </c>
      <c r="J866" s="264">
        <v>275.95</v>
      </c>
      <c r="K866" s="94">
        <f t="shared" si="41"/>
        <v>4.5869889693836985E-3</v>
      </c>
    </row>
    <row r="867" spans="2:11" x14ac:dyDescent="0.25">
      <c r="B867" s="263">
        <v>45671</v>
      </c>
      <c r="C867" s="162">
        <v>5842.91</v>
      </c>
      <c r="D867" s="94">
        <f t="shared" si="39"/>
        <v>1.146289893115604E-3</v>
      </c>
      <c r="F867" s="161">
        <v>1811.31</v>
      </c>
      <c r="G867" s="94">
        <f t="shared" si="40"/>
        <v>-3.2247945981939141E-3</v>
      </c>
      <c r="J867" s="264">
        <v>273.44</v>
      </c>
      <c r="K867" s="94">
        <f t="shared" si="41"/>
        <v>-9.0958506975901132E-3</v>
      </c>
    </row>
    <row r="868" spans="2:11" x14ac:dyDescent="0.25">
      <c r="B868" s="263">
        <v>45672</v>
      </c>
      <c r="C868" s="162">
        <v>5949.91</v>
      </c>
      <c r="D868" s="94">
        <f t="shared" si="39"/>
        <v>1.8312792769356268E-2</v>
      </c>
      <c r="F868" s="161">
        <v>1865.92</v>
      </c>
      <c r="G868" s="94">
        <f t="shared" si="40"/>
        <v>3.0149449845691789E-2</v>
      </c>
      <c r="J868" s="264">
        <v>272.55</v>
      </c>
      <c r="K868" s="94">
        <f t="shared" si="41"/>
        <v>-3.2548273844352771E-3</v>
      </c>
    </row>
    <row r="869" spans="2:11" x14ac:dyDescent="0.25">
      <c r="B869" s="263">
        <v>45673</v>
      </c>
      <c r="C869" s="162">
        <v>5937.34</v>
      </c>
      <c r="D869" s="94">
        <f t="shared" si="39"/>
        <v>-2.112636997870454E-3</v>
      </c>
      <c r="F869" s="161">
        <v>1849.15</v>
      </c>
      <c r="G869" s="94">
        <f t="shared" si="40"/>
        <v>-8.9875235808608567E-3</v>
      </c>
      <c r="J869" s="264">
        <v>274.8</v>
      </c>
      <c r="K869" s="94">
        <f t="shared" si="41"/>
        <v>8.255365987892116E-3</v>
      </c>
    </row>
    <row r="870" spans="2:11" x14ac:dyDescent="0.25">
      <c r="B870" s="263">
        <v>45674</v>
      </c>
      <c r="C870" s="162">
        <v>5996.66</v>
      </c>
      <c r="D870" s="94">
        <f t="shared" si="39"/>
        <v>9.9910060734267336E-3</v>
      </c>
      <c r="F870" s="161">
        <v>1880.8</v>
      </c>
      <c r="G870" s="94">
        <f t="shared" si="40"/>
        <v>1.7115972203444851E-2</v>
      </c>
      <c r="J870" s="264">
        <v>272.92</v>
      </c>
      <c r="K870" s="94">
        <f t="shared" si="41"/>
        <v>-6.8413391557495817E-3</v>
      </c>
    </row>
    <row r="871" spans="2:11" x14ac:dyDescent="0.25">
      <c r="B871" s="263">
        <v>45678</v>
      </c>
      <c r="C871" s="162">
        <v>6049.24</v>
      </c>
      <c r="D871" s="94">
        <f t="shared" si="39"/>
        <v>8.7682143059637507E-3</v>
      </c>
      <c r="F871" s="161">
        <v>1899.73</v>
      </c>
      <c r="G871" s="94">
        <f t="shared" si="40"/>
        <v>1.0064866014461993E-2</v>
      </c>
      <c r="J871" s="264">
        <v>280.48</v>
      </c>
      <c r="K871" s="94">
        <f t="shared" si="41"/>
        <v>2.770042503297665E-2</v>
      </c>
    </row>
    <row r="872" spans="2:11" x14ac:dyDescent="0.25">
      <c r="B872" s="263">
        <v>45679</v>
      </c>
      <c r="C872" s="162">
        <v>6086.37</v>
      </c>
      <c r="D872" s="94">
        <f t="shared" si="39"/>
        <v>6.1379611323075789E-3</v>
      </c>
      <c r="F872" s="161">
        <v>1898.44</v>
      </c>
      <c r="G872" s="94">
        <f t="shared" si="40"/>
        <v>-6.790438641280927E-4</v>
      </c>
      <c r="J872" s="264">
        <v>283.58</v>
      </c>
      <c r="K872" s="94">
        <f t="shared" si="41"/>
        <v>1.1052481460353647E-2</v>
      </c>
    </row>
    <row r="873" spans="2:11" x14ac:dyDescent="0.25">
      <c r="B873" s="263">
        <v>45680</v>
      </c>
      <c r="C873" s="162">
        <v>6118.71</v>
      </c>
      <c r="D873" s="94">
        <f t="shared" si="39"/>
        <v>5.31351199483443E-3</v>
      </c>
      <c r="F873" s="161">
        <v>1906.11</v>
      </c>
      <c r="G873" s="94">
        <f t="shared" si="40"/>
        <v>4.0401592886789572E-3</v>
      </c>
      <c r="J873" s="264">
        <v>288.52999999999997</v>
      </c>
      <c r="K873" s="94">
        <f t="shared" si="41"/>
        <v>1.7455391776570961E-2</v>
      </c>
    </row>
    <row r="874" spans="2:11" x14ac:dyDescent="0.25">
      <c r="B874" s="263">
        <v>45681</v>
      </c>
      <c r="C874" s="162">
        <v>6101.24</v>
      </c>
      <c r="D874" s="94">
        <f t="shared" si="39"/>
        <v>-2.8551769899211044E-3</v>
      </c>
      <c r="F874" s="161">
        <v>1895.77</v>
      </c>
      <c r="G874" s="94">
        <f t="shared" si="40"/>
        <v>-5.4246606963921362E-3</v>
      </c>
      <c r="J874" s="264">
        <v>279.83</v>
      </c>
      <c r="K874" s="94">
        <f t="shared" si="41"/>
        <v>-3.0152843725089196E-2</v>
      </c>
    </row>
    <row r="875" spans="2:11" x14ac:dyDescent="0.25">
      <c r="B875" s="263">
        <v>45684</v>
      </c>
      <c r="C875" s="162">
        <v>6012.28</v>
      </c>
      <c r="D875" s="94">
        <f t="shared" si="39"/>
        <v>-1.45806426234667E-2</v>
      </c>
      <c r="F875" s="161">
        <v>1901.37</v>
      </c>
      <c r="G875" s="94">
        <f t="shared" si="40"/>
        <v>2.9539448350801578E-3</v>
      </c>
      <c r="J875" s="264">
        <v>292.52</v>
      </c>
      <c r="K875" s="94">
        <f t="shared" si="41"/>
        <v>4.5348961869706494E-2</v>
      </c>
    </row>
    <row r="876" spans="2:11" x14ac:dyDescent="0.25">
      <c r="B876" s="263">
        <v>45685</v>
      </c>
      <c r="C876" s="162">
        <v>6067.7</v>
      </c>
      <c r="D876" s="94">
        <f t="shared" si="39"/>
        <v>9.2178009008230255E-3</v>
      </c>
      <c r="F876" s="161">
        <v>1907.74</v>
      </c>
      <c r="G876" s="94">
        <f t="shared" si="40"/>
        <v>3.3502158969584972E-3</v>
      </c>
      <c r="J876" s="264">
        <v>295.82</v>
      </c>
      <c r="K876" s="94">
        <f t="shared" si="41"/>
        <v>1.1281279912484621E-2</v>
      </c>
    </row>
    <row r="877" spans="2:11" x14ac:dyDescent="0.25">
      <c r="B877" s="263">
        <v>45686</v>
      </c>
      <c r="C877" s="162">
        <v>6039.31</v>
      </c>
      <c r="D877" s="94">
        <f t="shared" si="39"/>
        <v>-4.6788733787100911E-3</v>
      </c>
      <c r="F877" s="161">
        <v>1898.26</v>
      </c>
      <c r="G877" s="94">
        <f t="shared" si="40"/>
        <v>-4.9692306079445192E-3</v>
      </c>
      <c r="J877" s="264">
        <v>303.7</v>
      </c>
      <c r="K877" s="94">
        <f t="shared" si="41"/>
        <v>2.6637820296125936E-2</v>
      </c>
    </row>
    <row r="878" spans="2:11" x14ac:dyDescent="0.25">
      <c r="B878" s="263">
        <v>45687</v>
      </c>
      <c r="C878" s="162">
        <v>6071.17</v>
      </c>
      <c r="D878" s="94">
        <f t="shared" si="39"/>
        <v>5.2754370946348494E-3</v>
      </c>
      <c r="F878" s="161">
        <v>1909.76</v>
      </c>
      <c r="G878" s="94">
        <f t="shared" si="40"/>
        <v>6.0581795960510387E-3</v>
      </c>
      <c r="J878" s="264">
        <v>305.76</v>
      </c>
      <c r="K878" s="94">
        <f t="shared" si="41"/>
        <v>6.7830095488969899E-3</v>
      </c>
    </row>
    <row r="879" spans="2:11" x14ac:dyDescent="0.25">
      <c r="B879" s="263">
        <v>45688</v>
      </c>
      <c r="C879" s="162">
        <v>6040.53</v>
      </c>
      <c r="D879" s="94">
        <f t="shared" si="39"/>
        <v>-5.0468031697350479E-3</v>
      </c>
      <c r="F879" s="161">
        <v>1911.57</v>
      </c>
      <c r="G879" s="94">
        <f t="shared" si="40"/>
        <v>9.477630697050099E-4</v>
      </c>
      <c r="J879" s="264">
        <v>297.89999999999998</v>
      </c>
      <c r="K879" s="94">
        <f t="shared" si="41"/>
        <v>-2.5706436420722234E-2</v>
      </c>
    </row>
    <row r="880" spans="2:11" x14ac:dyDescent="0.25">
      <c r="B880" s="263">
        <v>45691</v>
      </c>
      <c r="C880" s="162">
        <v>5994.57</v>
      </c>
      <c r="D880" s="94">
        <f t="shared" si="39"/>
        <v>-7.6086038807853251E-3</v>
      </c>
      <c r="F880" s="161">
        <v>1885.8</v>
      </c>
      <c r="G880" s="94">
        <f t="shared" si="40"/>
        <v>-1.3481065302343054E-2</v>
      </c>
      <c r="J880" s="264">
        <v>303.67</v>
      </c>
      <c r="K880" s="94">
        <f t="shared" si="41"/>
        <v>1.9368915743538162E-2</v>
      </c>
    </row>
    <row r="881" spans="2:11" x14ac:dyDescent="0.25">
      <c r="B881" s="263">
        <v>45692</v>
      </c>
      <c r="C881" s="162">
        <v>6037.88</v>
      </c>
      <c r="D881" s="94">
        <f t="shared" si="39"/>
        <v>7.2248718423506553E-3</v>
      </c>
      <c r="F881" s="161">
        <v>1912.85</v>
      </c>
      <c r="G881" s="94">
        <f t="shared" si="40"/>
        <v>1.4344044967653069E-2</v>
      </c>
      <c r="J881" s="264">
        <v>306.93</v>
      </c>
      <c r="K881" s="94">
        <f t="shared" si="41"/>
        <v>1.0735337702110881E-2</v>
      </c>
    </row>
    <row r="882" spans="2:11" x14ac:dyDescent="0.25">
      <c r="B882" s="263">
        <v>45693</v>
      </c>
      <c r="C882" s="162">
        <v>6061.48</v>
      </c>
      <c r="D882" s="94">
        <f t="shared" si="39"/>
        <v>3.9086566808217427E-3</v>
      </c>
      <c r="F882" s="161">
        <v>1882.43</v>
      </c>
      <c r="G882" s="94">
        <f t="shared" si="40"/>
        <v>-1.5902972005123139E-2</v>
      </c>
      <c r="J882" s="264">
        <v>305.39</v>
      </c>
      <c r="K882" s="94">
        <f t="shared" si="41"/>
        <v>-5.0174306845209848E-3</v>
      </c>
    </row>
    <row r="883" spans="2:11" x14ac:dyDescent="0.25">
      <c r="B883" s="263">
        <v>45694</v>
      </c>
      <c r="C883" s="162">
        <v>6083.57</v>
      </c>
      <c r="D883" s="94">
        <f t="shared" si="39"/>
        <v>3.64432448840879E-3</v>
      </c>
      <c r="F883" s="161">
        <v>1890.87</v>
      </c>
      <c r="G883" s="94">
        <f t="shared" si="40"/>
        <v>4.4835664539981668E-3</v>
      </c>
      <c r="J883" s="264">
        <v>308.14499999999998</v>
      </c>
      <c r="K883" s="94">
        <f t="shared" si="41"/>
        <v>9.0212515144569849E-3</v>
      </c>
    </row>
    <row r="884" spans="2:11" x14ac:dyDescent="0.25">
      <c r="B884" s="263">
        <v>45695</v>
      </c>
      <c r="C884" s="162">
        <v>6025.99</v>
      </c>
      <c r="D884" s="94">
        <f t="shared" si="39"/>
        <v>-9.464837258386094E-3</v>
      </c>
      <c r="F884" s="161">
        <v>1843.18</v>
      </c>
      <c r="G884" s="94">
        <f t="shared" si="40"/>
        <v>-2.5221194476616526E-2</v>
      </c>
      <c r="J884" s="264">
        <v>304.92</v>
      </c>
      <c r="K884" s="94">
        <f t="shared" si="41"/>
        <v>-1.0465852115075558E-2</v>
      </c>
    </row>
    <row r="885" spans="2:11" x14ac:dyDescent="0.25">
      <c r="B885" s="263">
        <v>45698</v>
      </c>
      <c r="C885" s="162">
        <v>6066.44</v>
      </c>
      <c r="D885" s="94">
        <f t="shared" si="39"/>
        <v>6.712589964470439E-3</v>
      </c>
      <c r="F885" s="161">
        <v>1852.31</v>
      </c>
      <c r="G885" s="94">
        <f t="shared" si="40"/>
        <v>4.953395761672752E-3</v>
      </c>
      <c r="J885" s="264">
        <v>308.48</v>
      </c>
      <c r="K885" s="94">
        <f t="shared" si="41"/>
        <v>1.1675193493375424E-2</v>
      </c>
    </row>
    <row r="886" spans="2:11" x14ac:dyDescent="0.25">
      <c r="B886" s="263">
        <v>45699</v>
      </c>
      <c r="C886" s="162">
        <v>6068.5</v>
      </c>
      <c r="D886" s="94">
        <f t="shared" si="39"/>
        <v>3.3957312690802155E-4</v>
      </c>
      <c r="F886" s="161">
        <v>1829.57</v>
      </c>
      <c r="G886" s="94">
        <f t="shared" si="40"/>
        <v>-1.2276562778368638E-2</v>
      </c>
      <c r="J886" s="264">
        <v>299.82</v>
      </c>
      <c r="K886" s="94">
        <f t="shared" si="41"/>
        <v>-2.8073132780083054E-2</v>
      </c>
    </row>
    <row r="887" spans="2:11" x14ac:dyDescent="0.25">
      <c r="B887" s="263">
        <v>45700</v>
      </c>
      <c r="C887" s="162">
        <v>6051.97</v>
      </c>
      <c r="D887" s="94">
        <f t="shared" si="39"/>
        <v>-2.7239021174919609E-3</v>
      </c>
      <c r="F887" s="161">
        <v>1824.11</v>
      </c>
      <c r="G887" s="94">
        <f t="shared" si="40"/>
        <v>-2.9843077881688274E-3</v>
      </c>
      <c r="J887" s="264">
        <v>304.32</v>
      </c>
      <c r="K887" s="94">
        <f t="shared" si="41"/>
        <v>1.5009005403241904E-2</v>
      </c>
    </row>
    <row r="888" spans="2:11" x14ac:dyDescent="0.25">
      <c r="B888" s="263">
        <v>45701</v>
      </c>
      <c r="C888" s="162">
        <v>6115.07</v>
      </c>
      <c r="D888" s="94">
        <f t="shared" si="39"/>
        <v>1.0426357037460532E-2</v>
      </c>
      <c r="F888" s="161">
        <v>1853.3</v>
      </c>
      <c r="G888" s="94">
        <f t="shared" si="40"/>
        <v>1.6002324421224623E-2</v>
      </c>
      <c r="J888" s="264">
        <v>311.93</v>
      </c>
      <c r="K888" s="94">
        <f t="shared" si="41"/>
        <v>2.5006572029442786E-2</v>
      </c>
    </row>
    <row r="889" spans="2:11" x14ac:dyDescent="0.25">
      <c r="B889" s="263">
        <v>45702</v>
      </c>
      <c r="C889" s="162">
        <v>6114.63</v>
      </c>
      <c r="D889" s="94">
        <f t="shared" si="39"/>
        <v>-7.195338728738232E-5</v>
      </c>
      <c r="F889" s="161">
        <v>1848.32</v>
      </c>
      <c r="G889" s="94">
        <f t="shared" si="40"/>
        <v>-2.687098688825329E-3</v>
      </c>
      <c r="J889" s="264">
        <v>304.69</v>
      </c>
      <c r="K889" s="94">
        <f t="shared" si="41"/>
        <v>-2.3210335652229741E-2</v>
      </c>
    </row>
    <row r="890" spans="2:11" x14ac:dyDescent="0.25">
      <c r="B890" s="263">
        <v>45706</v>
      </c>
      <c r="C890" s="162">
        <v>6129.58</v>
      </c>
      <c r="D890" s="94">
        <f t="shared" si="39"/>
        <v>2.4449557863681637E-3</v>
      </c>
      <c r="F890" s="161">
        <v>1838.78</v>
      </c>
      <c r="G890" s="94">
        <f t="shared" si="40"/>
        <v>-5.1614439058171868E-3</v>
      </c>
      <c r="J890" s="264">
        <v>306.02</v>
      </c>
      <c r="K890" s="94">
        <f t="shared" si="41"/>
        <v>4.3650923889855253E-3</v>
      </c>
    </row>
    <row r="891" spans="2:11" x14ac:dyDescent="0.25">
      <c r="B891" s="263">
        <v>45707</v>
      </c>
      <c r="C891" s="162">
        <v>6144.15</v>
      </c>
      <c r="D891" s="94">
        <f t="shared" si="39"/>
        <v>2.3769980977488281E-3</v>
      </c>
      <c r="F891" s="161">
        <v>1839.39</v>
      </c>
      <c r="G891" s="94">
        <f t="shared" si="40"/>
        <v>3.3174169829996991E-4</v>
      </c>
      <c r="J891" s="264">
        <v>265.02</v>
      </c>
      <c r="K891" s="94">
        <f t="shared" si="41"/>
        <v>-0.13397817136134893</v>
      </c>
    </row>
    <row r="892" spans="2:11" x14ac:dyDescent="0.25">
      <c r="B892" s="263">
        <v>45708</v>
      </c>
      <c r="C892" s="162">
        <v>6117.52</v>
      </c>
      <c r="D892" s="94">
        <f t="shared" si="39"/>
        <v>-4.3342040803039383E-3</v>
      </c>
      <c r="F892" s="161">
        <v>1819.15</v>
      </c>
      <c r="G892" s="94">
        <f t="shared" si="40"/>
        <v>-1.1003647948504724E-2</v>
      </c>
      <c r="J892" s="264">
        <v>247.09</v>
      </c>
      <c r="K892" s="94">
        <f t="shared" si="41"/>
        <v>-6.7655271300279152E-2</v>
      </c>
    </row>
    <row r="893" spans="2:11" x14ac:dyDescent="0.25">
      <c r="B893" s="263">
        <v>45709</v>
      </c>
      <c r="C893" s="162">
        <v>6013.13</v>
      </c>
      <c r="D893" s="94">
        <f t="shared" si="39"/>
        <v>-1.70641044083224E-2</v>
      </c>
      <c r="F893" s="161">
        <v>1768.75</v>
      </c>
      <c r="G893" s="94">
        <f t="shared" si="40"/>
        <v>-2.7705246955995966E-2</v>
      </c>
      <c r="J893" s="264">
        <v>234.02</v>
      </c>
      <c r="K893" s="94">
        <f t="shared" si="41"/>
        <v>-5.2895706018050048E-2</v>
      </c>
    </row>
    <row r="894" spans="2:11" x14ac:dyDescent="0.25">
      <c r="B894" s="263">
        <v>45712</v>
      </c>
      <c r="C894" s="162">
        <v>5983.25</v>
      </c>
      <c r="D894" s="94">
        <f t="shared" si="39"/>
        <v>-4.9691258961639395E-3</v>
      </c>
      <c r="F894" s="161">
        <v>1753.29</v>
      </c>
      <c r="G894" s="94">
        <f t="shared" si="40"/>
        <v>-8.7406360424028273E-3</v>
      </c>
      <c r="J894" s="264">
        <v>236.51</v>
      </c>
      <c r="K894" s="94">
        <f t="shared" si="41"/>
        <v>1.0640116229382102E-2</v>
      </c>
    </row>
    <row r="895" spans="2:11" x14ac:dyDescent="0.25">
      <c r="B895" s="263">
        <v>45713</v>
      </c>
      <c r="C895" s="162">
        <v>5955.25</v>
      </c>
      <c r="D895" s="94">
        <f t="shared" si="39"/>
        <v>-4.6797309154723576E-3</v>
      </c>
      <c r="F895" s="161">
        <v>1738.62</v>
      </c>
      <c r="G895" s="94">
        <f t="shared" si="40"/>
        <v>-8.3671269442020524E-3</v>
      </c>
      <c r="J895" s="264">
        <v>238.86</v>
      </c>
      <c r="K895" s="94">
        <f t="shared" si="41"/>
        <v>9.9361549194538767E-3</v>
      </c>
    </row>
    <row r="896" spans="2:11" x14ac:dyDescent="0.25">
      <c r="B896" s="263">
        <v>45714</v>
      </c>
      <c r="C896" s="162">
        <v>5956.06</v>
      </c>
      <c r="D896" s="94">
        <f t="shared" si="39"/>
        <v>1.3601444103938931E-4</v>
      </c>
      <c r="F896" s="161">
        <v>1731.86</v>
      </c>
      <c r="G896" s="94">
        <f t="shared" si="40"/>
        <v>-3.8881411694332568E-3</v>
      </c>
      <c r="J896" s="264">
        <v>227.81</v>
      </c>
      <c r="K896" s="94">
        <f t="shared" si="41"/>
        <v>-4.626140835635939E-2</v>
      </c>
    </row>
    <row r="897" spans="2:11" x14ac:dyDescent="0.25">
      <c r="B897" s="263">
        <v>45715</v>
      </c>
      <c r="C897" s="162">
        <v>5861.57</v>
      </c>
      <c r="D897" s="94">
        <f t="shared" si="39"/>
        <v>-1.586451446090209E-2</v>
      </c>
      <c r="F897" s="161">
        <v>1700.95</v>
      </c>
      <c r="G897" s="94">
        <f t="shared" si="40"/>
        <v>-1.7847862991234753E-2</v>
      </c>
      <c r="J897" s="264">
        <v>228.62</v>
      </c>
      <c r="K897" s="94">
        <f t="shared" si="41"/>
        <v>3.555594574426113E-3</v>
      </c>
    </row>
    <row r="898" spans="2:11" x14ac:dyDescent="0.25">
      <c r="B898" s="263">
        <v>45716</v>
      </c>
      <c r="C898" s="162">
        <v>5954.5</v>
      </c>
      <c r="D898" s="94">
        <f t="shared" si="39"/>
        <v>1.5854114170776867E-2</v>
      </c>
      <c r="F898" s="161">
        <v>1731.52</v>
      </c>
      <c r="G898" s="94">
        <f t="shared" si="40"/>
        <v>1.7972309591698821E-2</v>
      </c>
      <c r="J898" s="264">
        <v>234.78</v>
      </c>
      <c r="K898" s="94">
        <f t="shared" si="41"/>
        <v>2.6944274341702323E-2</v>
      </c>
    </row>
    <row r="899" spans="2:11" x14ac:dyDescent="0.25">
      <c r="B899" s="263">
        <v>45719</v>
      </c>
      <c r="C899" s="162">
        <v>5849.72</v>
      </c>
      <c r="D899" s="94">
        <f t="shared" si="39"/>
        <v>-1.7596775547904953E-2</v>
      </c>
      <c r="F899" s="161">
        <v>1691.57</v>
      </c>
      <c r="G899" s="94">
        <f t="shared" si="40"/>
        <v>-2.3072214008501235E-2</v>
      </c>
      <c r="J899" s="264">
        <v>224.29</v>
      </c>
      <c r="K899" s="94">
        <f t="shared" si="41"/>
        <v>-4.4680126075475002E-2</v>
      </c>
    </row>
    <row r="900" spans="2:11" x14ac:dyDescent="0.25">
      <c r="B900" s="263">
        <v>45720</v>
      </c>
      <c r="C900" s="162">
        <v>5778.15</v>
      </c>
      <c r="D900" s="94">
        <f t="shared" si="39"/>
        <v>-1.2234773630190987E-2</v>
      </c>
      <c r="F900" s="161">
        <v>1663.36</v>
      </c>
      <c r="G900" s="94">
        <f t="shared" si="40"/>
        <v>-1.6676815029824432E-2</v>
      </c>
      <c r="J900" s="264">
        <v>229.51</v>
      </c>
      <c r="K900" s="94">
        <f t="shared" si="41"/>
        <v>2.3273440634892228E-2</v>
      </c>
    </row>
    <row r="901" spans="2:11" x14ac:dyDescent="0.25">
      <c r="B901" s="263">
        <v>45721</v>
      </c>
      <c r="C901" s="162">
        <v>5842.63</v>
      </c>
      <c r="D901" s="94">
        <f t="shared" si="39"/>
        <v>1.1159281084776262E-2</v>
      </c>
      <c r="F901" s="161">
        <v>1692.42</v>
      </c>
      <c r="G901" s="94">
        <f t="shared" si="40"/>
        <v>1.7470661792997388E-2</v>
      </c>
      <c r="J901" s="264">
        <v>230.6</v>
      </c>
      <c r="K901" s="94">
        <f t="shared" si="41"/>
        <v>4.7492483987625622E-3</v>
      </c>
    </row>
    <row r="902" spans="2:11" x14ac:dyDescent="0.25">
      <c r="B902" s="263">
        <v>45722</v>
      </c>
      <c r="C902" s="162">
        <v>5738.52</v>
      </c>
      <c r="D902" s="94">
        <f t="shared" si="39"/>
        <v>-1.7819030128555013E-2</v>
      </c>
      <c r="F902" s="161">
        <v>1642.84</v>
      </c>
      <c r="G902" s="94">
        <f t="shared" si="40"/>
        <v>-2.9295328582739644E-2</v>
      </c>
      <c r="J902" s="264">
        <v>218.28</v>
      </c>
      <c r="K902" s="94">
        <f t="shared" si="41"/>
        <v>-5.3425845620121426E-2</v>
      </c>
    </row>
    <row r="903" spans="2:11" x14ac:dyDescent="0.25">
      <c r="B903" s="263">
        <v>45723</v>
      </c>
      <c r="C903" s="162">
        <v>5770.2</v>
      </c>
      <c r="D903" s="94">
        <f t="shared" si="39"/>
        <v>5.5205871897281433E-3</v>
      </c>
      <c r="F903" s="161">
        <v>1637.8</v>
      </c>
      <c r="G903" s="94">
        <f t="shared" si="40"/>
        <v>-3.0678580993888094E-3</v>
      </c>
      <c r="J903" s="264">
        <v>227.12</v>
      </c>
      <c r="K903" s="94">
        <f t="shared" si="41"/>
        <v>4.0498442367601362E-2</v>
      </c>
    </row>
    <row r="904" spans="2:11" x14ac:dyDescent="0.25">
      <c r="B904" s="263">
        <v>45726</v>
      </c>
      <c r="C904" s="162">
        <v>5614.56</v>
      </c>
      <c r="D904" s="94">
        <f t="shared" si="39"/>
        <v>-2.6973068524487775E-2</v>
      </c>
      <c r="F904" s="161">
        <v>1573.91</v>
      </c>
      <c r="G904" s="94">
        <f t="shared" si="40"/>
        <v>-3.9009647087556387E-2</v>
      </c>
      <c r="J904" s="264">
        <v>213.78</v>
      </c>
      <c r="K904" s="94">
        <f t="shared" si="41"/>
        <v>-5.8735470235998566E-2</v>
      </c>
    </row>
    <row r="905" spans="2:11" x14ac:dyDescent="0.25">
      <c r="B905" s="263">
        <v>45727</v>
      </c>
      <c r="C905" s="162">
        <v>5572.07</v>
      </c>
      <c r="D905" s="94">
        <f t="shared" ref="D905:D968" si="42">C905/C904-1</f>
        <v>-7.5678236584880709E-3</v>
      </c>
      <c r="F905" s="161">
        <v>1569.82</v>
      </c>
      <c r="G905" s="94">
        <f t="shared" ref="G905:G968" si="43">F905/F904-1</f>
        <v>-2.5986238094936054E-3</v>
      </c>
      <c r="J905" s="264">
        <v>213.36</v>
      </c>
      <c r="K905" s="94">
        <f t="shared" si="41"/>
        <v>-1.9646365422396617E-3</v>
      </c>
    </row>
    <row r="906" spans="2:11" x14ac:dyDescent="0.25">
      <c r="B906" s="263">
        <v>45728</v>
      </c>
      <c r="C906" s="162">
        <v>5599.3</v>
      </c>
      <c r="D906" s="94">
        <f t="shared" si="42"/>
        <v>4.8868732804865367E-3</v>
      </c>
      <c r="F906" s="161">
        <v>1585.79</v>
      </c>
      <c r="G906" s="94">
        <f t="shared" si="43"/>
        <v>1.0173140869653929E-2</v>
      </c>
      <c r="J906" s="264">
        <v>219.35</v>
      </c>
      <c r="K906" s="94">
        <f t="shared" ref="K906:K969" si="44">J906/J905-1</f>
        <v>2.8074615673040704E-2</v>
      </c>
    </row>
    <row r="907" spans="2:11" x14ac:dyDescent="0.25">
      <c r="B907" s="263">
        <v>45729</v>
      </c>
      <c r="C907" s="162">
        <v>5521.52</v>
      </c>
      <c r="D907" s="94">
        <f t="shared" si="42"/>
        <v>-1.3891022092047178E-2</v>
      </c>
      <c r="F907" s="161">
        <v>1544.9</v>
      </c>
      <c r="G907" s="94">
        <f t="shared" si="43"/>
        <v>-2.5785255298620746E-2</v>
      </c>
      <c r="J907" s="264">
        <v>212.22</v>
      </c>
      <c r="K907" s="94">
        <f t="shared" si="44"/>
        <v>-3.2505128789605653E-2</v>
      </c>
    </row>
    <row r="908" spans="2:11" x14ac:dyDescent="0.25">
      <c r="B908" s="263">
        <v>45730</v>
      </c>
      <c r="C908" s="162">
        <v>5638.94</v>
      </c>
      <c r="D908" s="94">
        <f t="shared" si="42"/>
        <v>2.1265883307494793E-2</v>
      </c>
      <c r="F908" s="161">
        <v>1578.01</v>
      </c>
      <c r="G908" s="94">
        <f t="shared" si="43"/>
        <v>2.1431807884005449E-2</v>
      </c>
      <c r="J908" s="264">
        <v>213.2</v>
      </c>
      <c r="K908" s="94">
        <f t="shared" si="44"/>
        <v>4.617849401564289E-3</v>
      </c>
    </row>
    <row r="909" spans="2:11" x14ac:dyDescent="0.25">
      <c r="B909" s="263">
        <v>45733</v>
      </c>
      <c r="C909" s="162">
        <v>5675.12</v>
      </c>
      <c r="D909" s="94">
        <f t="shared" si="42"/>
        <v>6.4160994796895743E-3</v>
      </c>
      <c r="F909" s="161">
        <v>1571.11</v>
      </c>
      <c r="G909" s="94">
        <f t="shared" si="43"/>
        <v>-4.3725958644115215E-3</v>
      </c>
      <c r="J909" s="264">
        <v>214.16</v>
      </c>
      <c r="K909" s="94">
        <f t="shared" si="44"/>
        <v>4.502814258911858E-3</v>
      </c>
    </row>
    <row r="910" spans="2:11" x14ac:dyDescent="0.25">
      <c r="B910" s="263">
        <v>45734</v>
      </c>
      <c r="C910" s="162">
        <v>5614.66</v>
      </c>
      <c r="D910" s="94">
        <f t="shared" si="42"/>
        <v>-1.0653519220738983E-2</v>
      </c>
      <c r="F910" s="161">
        <v>1541.33</v>
      </c>
      <c r="G910" s="94">
        <f t="shared" si="43"/>
        <v>-1.8954751736033781E-2</v>
      </c>
      <c r="J910" s="264">
        <v>207</v>
      </c>
      <c r="K910" s="94">
        <f t="shared" si="44"/>
        <v>-3.3432947329099738E-2</v>
      </c>
    </row>
    <row r="911" spans="2:11" x14ac:dyDescent="0.25">
      <c r="B911" s="263">
        <v>45735</v>
      </c>
      <c r="C911" s="162">
        <v>5675.29</v>
      </c>
      <c r="D911" s="94">
        <f t="shared" si="42"/>
        <v>1.0798516740105457E-2</v>
      </c>
      <c r="F911" s="161">
        <v>1570.6</v>
      </c>
      <c r="G911" s="94">
        <f t="shared" si="43"/>
        <v>1.8990092971654438E-2</v>
      </c>
      <c r="J911" s="264">
        <v>214.65</v>
      </c>
      <c r="K911" s="94">
        <f t="shared" si="44"/>
        <v>3.6956521739130554E-2</v>
      </c>
    </row>
    <row r="912" spans="2:11" x14ac:dyDescent="0.25">
      <c r="B912" s="263">
        <v>45736</v>
      </c>
      <c r="C912" s="162">
        <v>5662.89</v>
      </c>
      <c r="D912" s="94">
        <f t="shared" si="42"/>
        <v>-2.1849103746239829E-3</v>
      </c>
      <c r="F912" s="161">
        <v>1567.59</v>
      </c>
      <c r="G912" s="94">
        <f t="shared" si="43"/>
        <v>-1.9164650452055954E-3</v>
      </c>
      <c r="J912" s="264">
        <v>220.19</v>
      </c>
      <c r="K912" s="94">
        <f t="shared" si="44"/>
        <v>2.5809457255998147E-2</v>
      </c>
    </row>
    <row r="913" spans="2:11" x14ac:dyDescent="0.25">
      <c r="B913" s="263">
        <v>45737</v>
      </c>
      <c r="C913" s="162">
        <v>5667.56</v>
      </c>
      <c r="D913" s="94">
        <f t="shared" si="42"/>
        <v>8.2466726353502828E-4</v>
      </c>
      <c r="F913" s="161">
        <v>1577.46</v>
      </c>
      <c r="G913" s="94">
        <f t="shared" si="43"/>
        <v>6.2962892082751853E-3</v>
      </c>
      <c r="J913" s="264">
        <v>215.46</v>
      </c>
      <c r="K913" s="94">
        <f t="shared" si="44"/>
        <v>-2.1481447840501322E-2</v>
      </c>
    </row>
    <row r="914" spans="2:11" x14ac:dyDescent="0.25">
      <c r="B914" s="263">
        <v>45740</v>
      </c>
      <c r="C914" s="162">
        <v>5767.57</v>
      </c>
      <c r="D914" s="94">
        <f t="shared" si="42"/>
        <v>1.7646041682840563E-2</v>
      </c>
      <c r="F914" s="161">
        <v>1641.62</v>
      </c>
      <c r="G914" s="94">
        <f t="shared" si="43"/>
        <v>4.0672980614405274E-2</v>
      </c>
      <c r="J914" s="264">
        <v>222.62</v>
      </c>
      <c r="K914" s="94">
        <f t="shared" si="44"/>
        <v>3.3231226213682241E-2</v>
      </c>
    </row>
    <row r="915" spans="2:11" x14ac:dyDescent="0.25">
      <c r="B915" s="263">
        <v>45741</v>
      </c>
      <c r="C915" s="162">
        <v>5776.65</v>
      </c>
      <c r="D915" s="94">
        <f t="shared" si="42"/>
        <v>1.5743198608773046E-3</v>
      </c>
      <c r="F915" s="161">
        <v>1657.66</v>
      </c>
      <c r="G915" s="94">
        <f t="shared" si="43"/>
        <v>9.7708361252910603E-3</v>
      </c>
      <c r="J915" s="264">
        <v>220.08</v>
      </c>
      <c r="K915" s="94">
        <f t="shared" si="44"/>
        <v>-1.1409576857425163E-2</v>
      </c>
    </row>
    <row r="916" spans="2:11" x14ac:dyDescent="0.25">
      <c r="B916" s="263">
        <v>45742</v>
      </c>
      <c r="C916" s="162">
        <v>5712.2</v>
      </c>
      <c r="D916" s="94">
        <f t="shared" si="42"/>
        <v>-1.115698545004451E-2</v>
      </c>
      <c r="F916" s="161">
        <v>1630.06</v>
      </c>
      <c r="G916" s="94">
        <f t="shared" si="43"/>
        <v>-1.6649976472859374E-2</v>
      </c>
      <c r="J916" s="264">
        <v>220.37</v>
      </c>
      <c r="K916" s="94">
        <f t="shared" si="44"/>
        <v>1.3177026535804437E-3</v>
      </c>
    </row>
    <row r="917" spans="2:11" x14ac:dyDescent="0.25">
      <c r="B917" s="263">
        <v>45743</v>
      </c>
      <c r="C917" s="162">
        <v>5693.31</v>
      </c>
      <c r="D917" s="94">
        <f t="shared" si="42"/>
        <v>-3.3069570393192693E-3</v>
      </c>
      <c r="F917" s="161">
        <v>1631.56</v>
      </c>
      <c r="G917" s="94">
        <f t="shared" si="43"/>
        <v>9.2021152595611611E-4</v>
      </c>
      <c r="J917" s="264">
        <v>229.29</v>
      </c>
      <c r="K917" s="94">
        <f t="shared" si="44"/>
        <v>4.0477378953577947E-2</v>
      </c>
    </row>
    <row r="918" spans="2:11" x14ac:dyDescent="0.25">
      <c r="B918" s="263">
        <v>45744</v>
      </c>
      <c r="C918" s="162">
        <v>5580.94</v>
      </c>
      <c r="D918" s="94">
        <f t="shared" si="42"/>
        <v>-1.9737200328104554E-2</v>
      </c>
      <c r="F918" s="161">
        <v>1578.24</v>
      </c>
      <c r="G918" s="94">
        <f t="shared" si="43"/>
        <v>-3.2680379514084645E-2</v>
      </c>
      <c r="J918" s="264">
        <v>224</v>
      </c>
      <c r="K918" s="94">
        <f t="shared" si="44"/>
        <v>-2.307121985258842E-2</v>
      </c>
    </row>
    <row r="919" spans="2:11" x14ac:dyDescent="0.25">
      <c r="B919" s="263">
        <v>45747</v>
      </c>
      <c r="C919" s="162">
        <v>5611.85</v>
      </c>
      <c r="D919" s="94">
        <f t="shared" si="42"/>
        <v>5.5384935154294546E-3</v>
      </c>
      <c r="F919" s="161">
        <v>1575.4</v>
      </c>
      <c r="G919" s="94">
        <f t="shared" si="43"/>
        <v>-1.7994728304946417E-3</v>
      </c>
      <c r="J919" s="264">
        <v>225.58</v>
      </c>
      <c r="K919" s="94">
        <f t="shared" si="44"/>
        <v>7.0535714285715478E-3</v>
      </c>
    </row>
    <row r="920" spans="2:11" x14ac:dyDescent="0.25">
      <c r="B920" s="263">
        <v>45748</v>
      </c>
      <c r="C920" s="162">
        <v>5633.07</v>
      </c>
      <c r="D920" s="94">
        <f t="shared" si="42"/>
        <v>3.7812842467277452E-3</v>
      </c>
      <c r="F920" s="161">
        <v>1593.28</v>
      </c>
      <c r="G920" s="94">
        <f t="shared" si="43"/>
        <v>1.1349498540053293E-2</v>
      </c>
      <c r="J920" s="264">
        <v>236.4</v>
      </c>
      <c r="K920" s="94">
        <f t="shared" si="44"/>
        <v>4.7965245145846325E-2</v>
      </c>
    </row>
    <row r="921" spans="2:11" x14ac:dyDescent="0.25">
      <c r="B921" s="263">
        <v>45749</v>
      </c>
      <c r="C921" s="162">
        <v>5670.97</v>
      </c>
      <c r="D921" s="94">
        <f t="shared" si="42"/>
        <v>6.7281251608803938E-3</v>
      </c>
      <c r="F921" s="161">
        <v>1625.52</v>
      </c>
      <c r="G921" s="94">
        <f t="shared" si="43"/>
        <v>2.0234986945169675E-2</v>
      </c>
      <c r="J921" s="264">
        <v>235.96</v>
      </c>
      <c r="K921" s="94">
        <f t="shared" si="44"/>
        <v>-1.8612521150591643E-3</v>
      </c>
    </row>
    <row r="922" spans="2:11" x14ac:dyDescent="0.25">
      <c r="B922" s="263">
        <v>45750</v>
      </c>
      <c r="C922" s="162">
        <v>5396.52</v>
      </c>
      <c r="D922" s="94">
        <f t="shared" si="42"/>
        <v>-4.839560075260485E-2</v>
      </c>
      <c r="F922" s="161">
        <v>1520.7</v>
      </c>
      <c r="G922" s="94">
        <f t="shared" si="43"/>
        <v>-6.4483980510851913E-2</v>
      </c>
      <c r="J922" s="264">
        <v>242.78</v>
      </c>
      <c r="K922" s="94">
        <f t="shared" si="44"/>
        <v>2.8903203932870047E-2</v>
      </c>
    </row>
    <row r="923" spans="2:11" x14ac:dyDescent="0.25">
      <c r="B923" s="263">
        <v>45751</v>
      </c>
      <c r="C923" s="162">
        <v>5074.08</v>
      </c>
      <c r="D923" s="94">
        <f t="shared" si="42"/>
        <v>-5.9749616419470408E-2</v>
      </c>
      <c r="F923" s="161">
        <v>1452.25</v>
      </c>
      <c r="G923" s="94">
        <f t="shared" si="43"/>
        <v>-4.5012165450121655E-2</v>
      </c>
      <c r="J923" s="264">
        <v>232.36</v>
      </c>
      <c r="K923" s="94">
        <f t="shared" si="44"/>
        <v>-4.2919515610841064E-2</v>
      </c>
    </row>
    <row r="924" spans="2:11" x14ac:dyDescent="0.25">
      <c r="B924" s="263">
        <v>45754</v>
      </c>
      <c r="C924" s="162">
        <v>5062.25</v>
      </c>
      <c r="D924" s="94">
        <f t="shared" si="42"/>
        <v>-2.3314571311449095E-3</v>
      </c>
      <c r="F924" s="161">
        <v>1444.47</v>
      </c>
      <c r="G924" s="94">
        <f t="shared" si="43"/>
        <v>-5.3572043380960555E-3</v>
      </c>
      <c r="J924" s="264">
        <v>221</v>
      </c>
      <c r="K924" s="94">
        <f t="shared" si="44"/>
        <v>-4.8889653985195403E-2</v>
      </c>
    </row>
    <row r="925" spans="2:11" x14ac:dyDescent="0.25">
      <c r="B925" s="263">
        <v>45755</v>
      </c>
      <c r="C925" s="162">
        <v>4982.7700000000004</v>
      </c>
      <c r="D925" s="94">
        <f t="shared" si="42"/>
        <v>-1.5700528421156545E-2</v>
      </c>
      <c r="F925" s="161">
        <v>1407.83</v>
      </c>
      <c r="G925" s="94">
        <f t="shared" si="43"/>
        <v>-2.5365705068295052E-2</v>
      </c>
      <c r="J925" s="264">
        <v>221.71</v>
      </c>
      <c r="K925" s="94">
        <f t="shared" si="44"/>
        <v>3.2126696832579515E-3</v>
      </c>
    </row>
    <row r="926" spans="2:11" x14ac:dyDescent="0.25">
      <c r="B926" s="263">
        <v>45756</v>
      </c>
      <c r="C926" s="162">
        <v>5456.9</v>
      </c>
      <c r="D926" s="94">
        <f t="shared" si="42"/>
        <v>9.5153900340573472E-2</v>
      </c>
      <c r="F926" s="161">
        <v>1567.77</v>
      </c>
      <c r="G926" s="94">
        <f t="shared" si="43"/>
        <v>0.1136074668106235</v>
      </c>
      <c r="J926" s="264">
        <v>246.22</v>
      </c>
      <c r="K926" s="94">
        <f t="shared" si="44"/>
        <v>0.1105498173289432</v>
      </c>
    </row>
    <row r="927" spans="2:11" x14ac:dyDescent="0.25">
      <c r="B927" s="263">
        <v>45757</v>
      </c>
      <c r="C927" s="162">
        <v>5268.05</v>
      </c>
      <c r="D927" s="94">
        <f t="shared" si="42"/>
        <v>-3.4607561069471604E-2</v>
      </c>
      <c r="F927" s="161">
        <v>1503.22</v>
      </c>
      <c r="G927" s="94">
        <f t="shared" si="43"/>
        <v>-4.1173131262876583E-2</v>
      </c>
      <c r="J927" s="264">
        <v>240.29</v>
      </c>
      <c r="K927" s="94">
        <f t="shared" si="44"/>
        <v>-2.408415238404682E-2</v>
      </c>
    </row>
    <row r="928" spans="2:11" x14ac:dyDescent="0.25">
      <c r="B928" s="263">
        <v>45758</v>
      </c>
      <c r="C928" s="162">
        <v>5363.36</v>
      </c>
      <c r="D928" s="94">
        <f t="shared" si="42"/>
        <v>1.8092083408471682E-2</v>
      </c>
      <c r="F928" s="161">
        <v>1519.65</v>
      </c>
      <c r="G928" s="94">
        <f t="shared" si="43"/>
        <v>1.0929870544564402E-2</v>
      </c>
      <c r="J928" s="264">
        <v>237.29</v>
      </c>
      <c r="K928" s="94">
        <f t="shared" si="44"/>
        <v>-1.248491406217489E-2</v>
      </c>
    </row>
    <row r="929" spans="2:11" x14ac:dyDescent="0.25">
      <c r="B929" s="263">
        <v>45761</v>
      </c>
      <c r="C929" s="162">
        <v>5405.97</v>
      </c>
      <c r="D929" s="94">
        <f t="shared" si="42"/>
        <v>7.9446466394201831E-3</v>
      </c>
      <c r="F929" s="161">
        <v>1518.12</v>
      </c>
      <c r="G929" s="94">
        <f t="shared" si="43"/>
        <v>-1.0068107787978287E-3</v>
      </c>
      <c r="J929" s="264">
        <v>233.04499999999999</v>
      </c>
      <c r="K929" s="94">
        <f t="shared" si="44"/>
        <v>-1.7889502296767668E-2</v>
      </c>
    </row>
    <row r="930" spans="2:11" x14ac:dyDescent="0.25">
      <c r="B930" s="263">
        <v>45762</v>
      </c>
      <c r="C930" s="162">
        <v>5396.63</v>
      </c>
      <c r="D930" s="94">
        <f t="shared" si="42"/>
        <v>-1.7277195396940837E-3</v>
      </c>
      <c r="F930" s="161">
        <v>1506</v>
      </c>
      <c r="G930" s="94">
        <f t="shared" si="43"/>
        <v>-7.9835586119673119E-3</v>
      </c>
      <c r="J930" s="264">
        <v>224.66</v>
      </c>
      <c r="K930" s="94">
        <f t="shared" si="44"/>
        <v>-3.5980175502585254E-2</v>
      </c>
    </row>
    <row r="931" spans="2:11" x14ac:dyDescent="0.25">
      <c r="B931" s="263">
        <v>45763</v>
      </c>
      <c r="C931" s="162">
        <v>5275.7</v>
      </c>
      <c r="D931" s="94">
        <f t="shared" si="42"/>
        <v>-2.2408428964001637E-2</v>
      </c>
      <c r="F931" s="161">
        <v>1465.43</v>
      </c>
      <c r="G931" s="94">
        <f t="shared" si="43"/>
        <v>-2.6938911022576284E-2</v>
      </c>
      <c r="J931" s="264">
        <v>217.83</v>
      </c>
      <c r="K931" s="94">
        <f t="shared" si="44"/>
        <v>-3.0401495593340933E-2</v>
      </c>
    </row>
    <row r="932" spans="2:11" x14ac:dyDescent="0.25">
      <c r="B932" s="263">
        <v>45764</v>
      </c>
      <c r="C932" s="162">
        <v>5282.7</v>
      </c>
      <c r="D932" s="94">
        <f t="shared" si="42"/>
        <v>1.3268381447011368E-3</v>
      </c>
      <c r="F932" s="161">
        <v>1470.5</v>
      </c>
      <c r="G932" s="94">
        <f t="shared" si="43"/>
        <v>3.4597353677758846E-3</v>
      </c>
      <c r="J932" s="264">
        <v>218.84</v>
      </c>
      <c r="K932" s="94">
        <f t="shared" si="44"/>
        <v>4.6366432539135527E-3</v>
      </c>
    </row>
    <row r="933" spans="2:11" x14ac:dyDescent="0.25">
      <c r="B933" s="263">
        <v>45768</v>
      </c>
      <c r="C933" s="162">
        <v>5158.2</v>
      </c>
      <c r="D933" s="94">
        <f t="shared" si="42"/>
        <v>-2.3567493895167213E-2</v>
      </c>
      <c r="F933" s="161">
        <v>1428.39</v>
      </c>
      <c r="G933" s="94">
        <f t="shared" si="43"/>
        <v>-2.8636518191091365E-2</v>
      </c>
      <c r="J933" s="264">
        <v>210.82</v>
      </c>
      <c r="K933" s="94">
        <f t="shared" si="44"/>
        <v>-3.6647779199415198E-2</v>
      </c>
    </row>
    <row r="934" spans="2:11" x14ac:dyDescent="0.25">
      <c r="B934" s="263">
        <v>45769</v>
      </c>
      <c r="C934" s="162">
        <v>5287.76</v>
      </c>
      <c r="D934" s="94">
        <f t="shared" si="42"/>
        <v>2.511728897677501E-2</v>
      </c>
      <c r="F934" s="161">
        <v>1474.58</v>
      </c>
      <c r="G934" s="94">
        <f t="shared" si="43"/>
        <v>3.2337106812565075E-2</v>
      </c>
      <c r="J934" s="264">
        <v>210.24</v>
      </c>
      <c r="K934" s="94">
        <f t="shared" si="44"/>
        <v>-2.751162128830198E-3</v>
      </c>
    </row>
    <row r="935" spans="2:11" x14ac:dyDescent="0.25">
      <c r="B935" s="263">
        <v>45770</v>
      </c>
      <c r="C935" s="162">
        <v>5375.86</v>
      </c>
      <c r="D935" s="94">
        <f t="shared" si="42"/>
        <v>1.6661119264111734E-2</v>
      </c>
      <c r="F935" s="161">
        <v>1515.34</v>
      </c>
      <c r="G935" s="94">
        <f t="shared" si="43"/>
        <v>2.7641769181733E-2</v>
      </c>
      <c r="J935" s="264">
        <v>216.38</v>
      </c>
      <c r="K935" s="94">
        <f t="shared" si="44"/>
        <v>2.9204718417047193E-2</v>
      </c>
    </row>
    <row r="936" spans="2:11" x14ac:dyDescent="0.25">
      <c r="B936" s="263">
        <v>45771</v>
      </c>
      <c r="C936" s="162">
        <v>5484.77</v>
      </c>
      <c r="D936" s="94">
        <f t="shared" si="42"/>
        <v>2.025908412793509E-2</v>
      </c>
      <c r="F936" s="161">
        <v>1549.54</v>
      </c>
      <c r="G936" s="94">
        <f t="shared" si="43"/>
        <v>2.2569192392466464E-2</v>
      </c>
      <c r="J936" s="264">
        <v>217.59</v>
      </c>
      <c r="K936" s="94">
        <f t="shared" si="44"/>
        <v>5.5920140493577186E-3</v>
      </c>
    </row>
    <row r="937" spans="2:11" x14ac:dyDescent="0.25">
      <c r="B937" s="263">
        <v>45772</v>
      </c>
      <c r="C937" s="162">
        <v>5525.21</v>
      </c>
      <c r="D937" s="94">
        <f t="shared" si="42"/>
        <v>7.3731441792452834E-3</v>
      </c>
      <c r="F937" s="161">
        <v>1579.84</v>
      </c>
      <c r="G937" s="94">
        <f t="shared" si="43"/>
        <v>1.9554190275823835E-2</v>
      </c>
      <c r="J937" s="264">
        <v>227.3</v>
      </c>
      <c r="K937" s="94">
        <f t="shared" si="44"/>
        <v>4.4625212555724048E-2</v>
      </c>
    </row>
    <row r="938" spans="2:11" x14ac:dyDescent="0.25">
      <c r="B938" s="263">
        <v>45775</v>
      </c>
      <c r="C938" s="162">
        <v>5528.75</v>
      </c>
      <c r="D938" s="94">
        <f t="shared" si="42"/>
        <v>6.4069962951629478E-4</v>
      </c>
      <c r="F938" s="161">
        <v>1578.35</v>
      </c>
      <c r="G938" s="94">
        <f t="shared" si="43"/>
        <v>-9.4313348187158308E-4</v>
      </c>
      <c r="J938" s="264">
        <v>224.67</v>
      </c>
      <c r="K938" s="94">
        <f t="shared" si="44"/>
        <v>-1.157061152661687E-2</v>
      </c>
    </row>
    <row r="939" spans="2:11" x14ac:dyDescent="0.25">
      <c r="B939" s="263">
        <v>45776</v>
      </c>
      <c r="C939" s="162">
        <v>5560.83</v>
      </c>
      <c r="D939" s="94">
        <f t="shared" si="42"/>
        <v>5.8023965634184105E-3</v>
      </c>
      <c r="F939" s="161">
        <v>1587.63</v>
      </c>
      <c r="G939" s="94">
        <f t="shared" si="43"/>
        <v>5.8795577660215592E-3</v>
      </c>
      <c r="J939" s="264">
        <v>230.51</v>
      </c>
      <c r="K939" s="94">
        <f t="shared" si="44"/>
        <v>2.599367961899679E-2</v>
      </c>
    </row>
    <row r="940" spans="2:11" x14ac:dyDescent="0.25">
      <c r="B940" s="263">
        <v>45777</v>
      </c>
      <c r="C940" s="162">
        <v>5569.06</v>
      </c>
      <c r="D940" s="94">
        <f t="shared" si="42"/>
        <v>1.4799948928487794E-3</v>
      </c>
      <c r="F940" s="161">
        <v>1570.08</v>
      </c>
      <c r="G940" s="94">
        <f t="shared" si="43"/>
        <v>-1.1054212883354508E-2</v>
      </c>
      <c r="J940" s="264">
        <v>263.89</v>
      </c>
      <c r="K940" s="94">
        <f t="shared" si="44"/>
        <v>0.14480933582057176</v>
      </c>
    </row>
    <row r="941" spans="2:11" x14ac:dyDescent="0.25">
      <c r="B941" s="263">
        <v>45778</v>
      </c>
      <c r="C941" s="162">
        <v>5604.14</v>
      </c>
      <c r="D941" s="94">
        <f t="shared" si="42"/>
        <v>6.2990881764606321E-3</v>
      </c>
      <c r="F941" s="161">
        <v>1585.69</v>
      </c>
      <c r="G941" s="94">
        <f t="shared" si="43"/>
        <v>9.9421685519209824E-3</v>
      </c>
      <c r="J941" s="264">
        <v>259.67</v>
      </c>
      <c r="K941" s="94">
        <f t="shared" si="44"/>
        <v>-1.5991511614687814E-2</v>
      </c>
    </row>
    <row r="942" spans="2:11" x14ac:dyDescent="0.25">
      <c r="B942" s="263">
        <v>45779</v>
      </c>
      <c r="C942" s="162">
        <v>5686.67</v>
      </c>
      <c r="D942" s="94">
        <f t="shared" si="42"/>
        <v>1.4726612825518126E-2</v>
      </c>
      <c r="F942" s="161">
        <v>1604.65</v>
      </c>
      <c r="G942" s="94">
        <f t="shared" si="43"/>
        <v>1.1956939881061279E-2</v>
      </c>
      <c r="J942" s="264">
        <v>270.11</v>
      </c>
      <c r="K942" s="94">
        <f t="shared" si="44"/>
        <v>4.020487541880069E-2</v>
      </c>
    </row>
    <row r="943" spans="2:11" x14ac:dyDescent="0.25">
      <c r="B943" s="263">
        <v>45782</v>
      </c>
      <c r="C943" s="162">
        <v>5650.38</v>
      </c>
      <c r="D943" s="94">
        <f t="shared" si="42"/>
        <v>-6.3815906321273985E-3</v>
      </c>
      <c r="F943" s="161">
        <v>1583.5</v>
      </c>
      <c r="G943" s="94">
        <f t="shared" si="43"/>
        <v>-1.3180444333655394E-2</v>
      </c>
      <c r="J943" s="264">
        <v>269.22000000000003</v>
      </c>
      <c r="K943" s="94">
        <f t="shared" si="44"/>
        <v>-3.2949539076672085E-3</v>
      </c>
    </row>
    <row r="944" spans="2:11" x14ac:dyDescent="0.25">
      <c r="B944" s="263">
        <v>45783</v>
      </c>
      <c r="C944" s="162">
        <v>5606.91</v>
      </c>
      <c r="D944" s="94">
        <f t="shared" si="42"/>
        <v>-7.6932878850626274E-3</v>
      </c>
      <c r="F944" s="161">
        <v>1570.04</v>
      </c>
      <c r="G944" s="94">
        <f t="shared" si="43"/>
        <v>-8.5001578781180864E-3</v>
      </c>
      <c r="J944" s="264">
        <v>266.85000000000002</v>
      </c>
      <c r="K944" s="94">
        <f t="shared" si="44"/>
        <v>-8.8032092712280186E-3</v>
      </c>
    </row>
    <row r="945" spans="2:11" x14ac:dyDescent="0.25">
      <c r="B945" s="263">
        <v>45784</v>
      </c>
      <c r="C945" s="162">
        <v>5631.28</v>
      </c>
      <c r="D945" s="94">
        <f t="shared" si="42"/>
        <v>4.3464225393308187E-3</v>
      </c>
      <c r="F945" s="161">
        <v>1585.98</v>
      </c>
      <c r="G945" s="94">
        <f t="shared" si="43"/>
        <v>1.0152607576876971E-2</v>
      </c>
      <c r="J945" s="264">
        <v>270.16000000000003</v>
      </c>
      <c r="K945" s="94">
        <f t="shared" si="44"/>
        <v>1.2403972269064978E-2</v>
      </c>
    </row>
    <row r="946" spans="2:11" x14ac:dyDescent="0.25">
      <c r="B946" s="263">
        <v>45785</v>
      </c>
      <c r="C946" s="162">
        <v>5663.94</v>
      </c>
      <c r="D946" s="94">
        <f t="shared" si="42"/>
        <v>5.7997471267632328E-3</v>
      </c>
      <c r="F946" s="161">
        <v>1607.45</v>
      </c>
      <c r="G946" s="94">
        <f t="shared" si="43"/>
        <v>1.3537371215273764E-2</v>
      </c>
      <c r="J946" s="264">
        <v>276.14999999999998</v>
      </c>
      <c r="K946" s="94">
        <f t="shared" si="44"/>
        <v>2.2172046194847361E-2</v>
      </c>
    </row>
    <row r="947" spans="2:11" x14ac:dyDescent="0.25">
      <c r="B947" s="263">
        <v>45786</v>
      </c>
      <c r="C947" s="162">
        <v>5659.91</v>
      </c>
      <c r="D947" s="94">
        <f t="shared" si="42"/>
        <v>-7.1151883671083382E-4</v>
      </c>
      <c r="F947" s="161">
        <v>1617.63</v>
      </c>
      <c r="G947" s="94">
        <f t="shared" si="43"/>
        <v>6.3330119132787299E-3</v>
      </c>
      <c r="J947" s="264">
        <v>267.33999999999997</v>
      </c>
      <c r="K947" s="94">
        <f t="shared" si="44"/>
        <v>-3.1902951294586313E-2</v>
      </c>
    </row>
    <row r="948" spans="2:11" x14ac:dyDescent="0.25">
      <c r="B948" s="263">
        <v>45789</v>
      </c>
      <c r="C948" s="162">
        <v>5844.19</v>
      </c>
      <c r="D948" s="94">
        <f t="shared" si="42"/>
        <v>3.2558821606703869E-2</v>
      </c>
      <c r="F948" s="161">
        <v>1709.11</v>
      </c>
      <c r="G948" s="94">
        <f t="shared" si="43"/>
        <v>5.655186909243759E-2</v>
      </c>
      <c r="J948" s="264">
        <v>285.95999999999998</v>
      </c>
      <c r="K948" s="94">
        <f t="shared" si="44"/>
        <v>6.9649135931772355E-2</v>
      </c>
    </row>
    <row r="949" spans="2:11" x14ac:dyDescent="0.25">
      <c r="B949" s="263">
        <v>45790</v>
      </c>
      <c r="C949" s="162">
        <v>5886.55</v>
      </c>
      <c r="D949" s="94">
        <f t="shared" si="42"/>
        <v>7.2482243048224149E-3</v>
      </c>
      <c r="F949" s="161">
        <v>1733.26</v>
      </c>
      <c r="G949" s="94">
        <f t="shared" si="43"/>
        <v>1.4130161312027933E-2</v>
      </c>
      <c r="J949" s="264">
        <v>286.3</v>
      </c>
      <c r="K949" s="94">
        <f t="shared" si="44"/>
        <v>1.1889774793678587E-3</v>
      </c>
    </row>
    <row r="950" spans="2:11" x14ac:dyDescent="0.25">
      <c r="B950" s="263">
        <v>45791</v>
      </c>
      <c r="C950" s="162">
        <v>5892.58</v>
      </c>
      <c r="D950" s="94">
        <f t="shared" si="42"/>
        <v>1.024369112638146E-3</v>
      </c>
      <c r="F950" s="161">
        <v>1739.82</v>
      </c>
      <c r="G950" s="94">
        <f t="shared" si="43"/>
        <v>3.7847755097331071E-3</v>
      </c>
      <c r="J950" s="264">
        <v>306.25</v>
      </c>
      <c r="K950" s="94">
        <f t="shared" si="44"/>
        <v>6.968215158924207E-2</v>
      </c>
    </row>
    <row r="951" spans="2:11" x14ac:dyDescent="0.25">
      <c r="B951" s="263">
        <v>45792</v>
      </c>
      <c r="C951" s="162">
        <v>5916.93</v>
      </c>
      <c r="D951" s="94">
        <f t="shared" si="42"/>
        <v>4.1323155561741043E-3</v>
      </c>
      <c r="F951" s="161">
        <v>1727.91</v>
      </c>
      <c r="G951" s="94">
        <f t="shared" si="43"/>
        <v>-6.8455357450769583E-3</v>
      </c>
      <c r="J951" s="264">
        <v>308.48</v>
      </c>
      <c r="K951" s="94">
        <f t="shared" si="44"/>
        <v>7.2816326530613651E-3</v>
      </c>
    </row>
    <row r="952" spans="2:11" x14ac:dyDescent="0.25">
      <c r="B952" s="263">
        <v>45793</v>
      </c>
      <c r="C952" s="162">
        <v>5958.38</v>
      </c>
      <c r="D952" s="94">
        <f t="shared" si="42"/>
        <v>7.0053220166539365E-3</v>
      </c>
      <c r="F952" s="161">
        <v>1742.51</v>
      </c>
      <c r="G952" s="94">
        <f t="shared" si="43"/>
        <v>8.449514152936155E-3</v>
      </c>
      <c r="J952" s="264">
        <v>321.08</v>
      </c>
      <c r="K952" s="94">
        <f t="shared" si="44"/>
        <v>4.0845435684647269E-2</v>
      </c>
    </row>
    <row r="953" spans="2:11" x14ac:dyDescent="0.25">
      <c r="B953" s="263">
        <v>45796</v>
      </c>
      <c r="C953" s="162">
        <v>5963.6</v>
      </c>
      <c r="D953" s="94">
        <f t="shared" si="42"/>
        <v>8.76077054501323E-4</v>
      </c>
      <c r="F953" s="161">
        <v>1737.85</v>
      </c>
      <c r="G953" s="94">
        <f t="shared" si="43"/>
        <v>-2.6743031603836398E-3</v>
      </c>
      <c r="J953" s="264">
        <v>333.67</v>
      </c>
      <c r="K953" s="94">
        <f t="shared" si="44"/>
        <v>3.9211411486234082E-2</v>
      </c>
    </row>
    <row r="954" spans="2:11" x14ac:dyDescent="0.25">
      <c r="B954" s="263">
        <v>45797</v>
      </c>
      <c r="C954" s="162">
        <v>5940.46</v>
      </c>
      <c r="D954" s="94">
        <f t="shared" si="42"/>
        <v>-3.8802065866255786E-3</v>
      </c>
      <c r="F954" s="161">
        <v>1727.68</v>
      </c>
      <c r="G954" s="94">
        <f t="shared" si="43"/>
        <v>-5.8520585781280943E-3</v>
      </c>
      <c r="J954" s="264">
        <v>327.78</v>
      </c>
      <c r="K954" s="94">
        <f t="shared" si="44"/>
        <v>-1.7652171306980047E-2</v>
      </c>
    </row>
    <row r="955" spans="2:11" x14ac:dyDescent="0.25">
      <c r="B955" s="263">
        <v>45798</v>
      </c>
      <c r="C955" s="162">
        <v>5844.61</v>
      </c>
      <c r="D955" s="94">
        <f t="shared" si="42"/>
        <v>-1.6135114115741978E-2</v>
      </c>
      <c r="F955" s="161">
        <v>1694.67</v>
      </c>
      <c r="G955" s="94">
        <f t="shared" si="43"/>
        <v>-1.9106547508797922E-2</v>
      </c>
      <c r="J955" s="264">
        <v>322.48</v>
      </c>
      <c r="K955" s="94">
        <f t="shared" si="44"/>
        <v>-1.6169381902495394E-2</v>
      </c>
    </row>
    <row r="956" spans="2:11" x14ac:dyDescent="0.25">
      <c r="B956" s="263">
        <v>45799</v>
      </c>
      <c r="C956" s="162">
        <v>5842.01</v>
      </c>
      <c r="D956" s="94">
        <f t="shared" si="42"/>
        <v>-4.4485431876539749E-4</v>
      </c>
      <c r="F956" s="161">
        <v>1704.21</v>
      </c>
      <c r="G956" s="94">
        <f t="shared" si="43"/>
        <v>5.6294145762891823E-3</v>
      </c>
      <c r="J956" s="264">
        <v>321.14</v>
      </c>
      <c r="K956" s="94">
        <f t="shared" si="44"/>
        <v>-4.1552964524932401E-3</v>
      </c>
    </row>
    <row r="957" spans="2:11" x14ac:dyDescent="0.25">
      <c r="B957" s="263">
        <v>45800</v>
      </c>
      <c r="C957" s="162">
        <v>5802.82</v>
      </c>
      <c r="D957" s="94">
        <f t="shared" si="42"/>
        <v>-6.708307585916562E-3</v>
      </c>
      <c r="F957" s="161">
        <v>1688.65</v>
      </c>
      <c r="G957" s="94">
        <f t="shared" si="43"/>
        <v>-9.1303301823131289E-3</v>
      </c>
      <c r="J957" s="264">
        <v>322.47000000000003</v>
      </c>
      <c r="K957" s="94">
        <f t="shared" si="44"/>
        <v>4.1414959207823898E-3</v>
      </c>
    </row>
    <row r="958" spans="2:11" x14ac:dyDescent="0.25">
      <c r="B958" s="263">
        <v>45804</v>
      </c>
      <c r="C958" s="162">
        <v>5921.54</v>
      </c>
      <c r="D958" s="94">
        <f t="shared" si="42"/>
        <v>2.0459018201495205E-2</v>
      </c>
      <c r="F958" s="161">
        <v>1740.01</v>
      </c>
      <c r="G958" s="94">
        <f t="shared" si="43"/>
        <v>3.0414828413229511E-2</v>
      </c>
      <c r="J958" s="264">
        <v>338.7</v>
      </c>
      <c r="K958" s="94">
        <f t="shared" si="44"/>
        <v>5.0330263280305099E-2</v>
      </c>
    </row>
    <row r="959" spans="2:11" x14ac:dyDescent="0.25">
      <c r="B959" s="263">
        <v>45805</v>
      </c>
      <c r="C959" s="162">
        <v>5888.55</v>
      </c>
      <c r="D959" s="94">
        <f t="shared" si="42"/>
        <v>-5.571185873944895E-3</v>
      </c>
      <c r="F959" s="161">
        <v>1723.74</v>
      </c>
      <c r="G959" s="94">
        <f t="shared" si="43"/>
        <v>-9.3505209740173401E-3</v>
      </c>
      <c r="J959" s="264">
        <v>339.34</v>
      </c>
      <c r="K959" s="94">
        <f t="shared" si="44"/>
        <v>1.8895777974607952E-3</v>
      </c>
    </row>
    <row r="960" spans="2:11" x14ac:dyDescent="0.25">
      <c r="B960" s="263">
        <v>45806</v>
      </c>
      <c r="C960" s="162">
        <v>5912.17</v>
      </c>
      <c r="D960" s="94">
        <f t="shared" si="42"/>
        <v>4.0111742279509421E-3</v>
      </c>
      <c r="F960" s="161">
        <v>1727.33</v>
      </c>
      <c r="G960" s="94">
        <f t="shared" si="43"/>
        <v>2.0826806827014543E-3</v>
      </c>
      <c r="J960" s="264">
        <v>340.56</v>
      </c>
      <c r="K960" s="94">
        <f t="shared" si="44"/>
        <v>3.5952142394060083E-3</v>
      </c>
    </row>
    <row r="961" spans="2:11" x14ac:dyDescent="0.25">
      <c r="B961" s="263">
        <v>45807</v>
      </c>
      <c r="C961" s="162">
        <v>5911.69</v>
      </c>
      <c r="D961" s="94">
        <f t="shared" si="42"/>
        <v>-8.118846379590039E-5</v>
      </c>
      <c r="F961" s="161">
        <v>1717.38</v>
      </c>
      <c r="G961" s="94">
        <f t="shared" si="43"/>
        <v>-5.7603353151973735E-3</v>
      </c>
      <c r="J961" s="264">
        <v>341.7</v>
      </c>
      <c r="K961" s="94">
        <f t="shared" si="44"/>
        <v>3.3474277660323626E-3</v>
      </c>
    </row>
    <row r="962" spans="2:11" x14ac:dyDescent="0.25">
      <c r="B962" s="263">
        <v>45810</v>
      </c>
      <c r="C962" s="162">
        <v>5935.94</v>
      </c>
      <c r="D962" s="94">
        <f t="shared" si="42"/>
        <v>4.1020418864994301E-3</v>
      </c>
      <c r="F962" s="161">
        <v>1720.03</v>
      </c>
      <c r="G962" s="94">
        <f t="shared" si="43"/>
        <v>1.5430481314560041E-3</v>
      </c>
      <c r="J962" s="264">
        <v>349.1</v>
      </c>
      <c r="K962" s="94">
        <f t="shared" si="44"/>
        <v>2.1656423763535271E-2</v>
      </c>
    </row>
    <row r="963" spans="2:11" x14ac:dyDescent="0.25">
      <c r="B963" s="263">
        <v>45811</v>
      </c>
      <c r="C963" s="162">
        <v>5970.37</v>
      </c>
      <c r="D963" s="94">
        <f t="shared" si="42"/>
        <v>5.8002607843070653E-3</v>
      </c>
      <c r="F963" s="161">
        <v>1725.44</v>
      </c>
      <c r="G963" s="94">
        <f t="shared" si="43"/>
        <v>3.1452939774305744E-3</v>
      </c>
      <c r="J963" s="264">
        <v>346.4</v>
      </c>
      <c r="K963" s="94">
        <f t="shared" si="44"/>
        <v>-7.7341735892295649E-3</v>
      </c>
    </row>
    <row r="964" spans="2:11" x14ac:dyDescent="0.25">
      <c r="B964" s="263">
        <v>45812</v>
      </c>
      <c r="C964" s="162">
        <v>5970.81</v>
      </c>
      <c r="D964" s="94">
        <f t="shared" si="42"/>
        <v>7.3697275043249633E-5</v>
      </c>
      <c r="F964" s="161">
        <v>1721.41</v>
      </c>
      <c r="G964" s="94">
        <f t="shared" si="43"/>
        <v>-2.3356361275964632E-3</v>
      </c>
      <c r="J964" s="264">
        <v>365.6</v>
      </c>
      <c r="K964" s="94">
        <f t="shared" si="44"/>
        <v>5.5427251732101723E-2</v>
      </c>
    </row>
    <row r="965" spans="2:11" x14ac:dyDescent="0.25">
      <c r="B965" s="263">
        <v>45813</v>
      </c>
      <c r="C965" s="162">
        <v>5939.3</v>
      </c>
      <c r="D965" s="94">
        <f t="shared" si="42"/>
        <v>-5.2773409302925289E-3</v>
      </c>
      <c r="F965" s="161">
        <v>1678.89</v>
      </c>
      <c r="G965" s="94">
        <f t="shared" si="43"/>
        <v>-2.4700681418139747E-2</v>
      </c>
      <c r="J965" s="264">
        <v>371.65</v>
      </c>
      <c r="K965" s="94">
        <f t="shared" si="44"/>
        <v>1.6548140043763482E-2</v>
      </c>
    </row>
    <row r="966" spans="2:11" x14ac:dyDescent="0.25">
      <c r="B966" s="263">
        <v>45814</v>
      </c>
      <c r="C966" s="162">
        <v>6000.36</v>
      </c>
      <c r="D966" s="94">
        <f t="shared" si="42"/>
        <v>1.0280672806559643E-2</v>
      </c>
      <c r="F966" s="161">
        <v>1706.39</v>
      </c>
      <c r="G966" s="94">
        <f t="shared" si="43"/>
        <v>1.6379870033176758E-2</v>
      </c>
      <c r="J966" s="264">
        <v>374.82</v>
      </c>
      <c r="K966" s="94">
        <f t="shared" si="44"/>
        <v>8.5295304722186049E-3</v>
      </c>
    </row>
    <row r="967" spans="2:11" x14ac:dyDescent="0.25">
      <c r="B967" s="263">
        <v>45817</v>
      </c>
      <c r="C967" s="162">
        <v>6005.88</v>
      </c>
      <c r="D967" s="94">
        <f t="shared" si="42"/>
        <v>9.1994480331192285E-4</v>
      </c>
      <c r="F967" s="161">
        <v>1724.76</v>
      </c>
      <c r="G967" s="94">
        <f t="shared" si="43"/>
        <v>1.0765417050029535E-2</v>
      </c>
      <c r="J967" s="264">
        <v>376.13</v>
      </c>
      <c r="K967" s="94">
        <f t="shared" si="44"/>
        <v>3.4950109385838424E-3</v>
      </c>
    </row>
    <row r="968" spans="2:11" x14ac:dyDescent="0.25">
      <c r="B968" s="263">
        <v>45818</v>
      </c>
      <c r="C968" s="162">
        <v>6038.81</v>
      </c>
      <c r="D968" s="94">
        <f t="shared" si="42"/>
        <v>5.4829600325014827E-3</v>
      </c>
      <c r="F968" s="161">
        <v>1745.3</v>
      </c>
      <c r="G968" s="94">
        <f t="shared" si="43"/>
        <v>1.1908903267700888E-2</v>
      </c>
      <c r="J968" s="264">
        <v>381.46</v>
      </c>
      <c r="K968" s="94">
        <f t="shared" si="44"/>
        <v>1.4170632494084456E-2</v>
      </c>
    </row>
    <row r="969" spans="2:11" x14ac:dyDescent="0.25">
      <c r="B969" s="263">
        <v>45819</v>
      </c>
      <c r="C969" s="162">
        <v>6022.24</v>
      </c>
      <c r="D969" s="94">
        <f t="shared" ref="D969:D1032" si="45">C969/C968-1</f>
        <v>-2.7439180898224391E-3</v>
      </c>
      <c r="F969" s="161">
        <v>1727.51</v>
      </c>
      <c r="G969" s="94">
        <f t="shared" ref="G969:G1032" si="46">F969/F968-1</f>
        <v>-1.0193090013178252E-2</v>
      </c>
      <c r="J969" s="264">
        <v>381</v>
      </c>
      <c r="K969" s="94">
        <f t="shared" si="44"/>
        <v>-1.2058931473810652E-3</v>
      </c>
    </row>
    <row r="970" spans="2:11" x14ac:dyDescent="0.25">
      <c r="B970" s="263">
        <v>45820</v>
      </c>
      <c r="C970" s="162">
        <v>6045.26</v>
      </c>
      <c r="D970" s="94">
        <f t="shared" si="45"/>
        <v>3.8224979409655635E-3</v>
      </c>
      <c r="F970" s="161">
        <v>1720.47</v>
      </c>
      <c r="G970" s="94">
        <f t="shared" si="46"/>
        <v>-4.0752296658195242E-3</v>
      </c>
      <c r="J970" s="264">
        <v>358.45</v>
      </c>
      <c r="K970" s="94">
        <f t="shared" ref="K970:K1033" si="47">J970/J969-1</f>
        <v>-5.9186351706036811E-2</v>
      </c>
    </row>
    <row r="971" spans="2:11" x14ac:dyDescent="0.25">
      <c r="B971" s="263">
        <v>45821</v>
      </c>
      <c r="C971" s="162">
        <v>5976.97</v>
      </c>
      <c r="D971" s="94">
        <f t="shared" si="45"/>
        <v>-1.1296453750541779E-2</v>
      </c>
      <c r="F971" s="161">
        <v>1707.72</v>
      </c>
      <c r="G971" s="94">
        <f t="shared" si="46"/>
        <v>-7.4107656628712437E-3</v>
      </c>
      <c r="J971" s="264">
        <v>354.06</v>
      </c>
      <c r="K971" s="94">
        <f t="shared" si="47"/>
        <v>-1.2247175338261918E-2</v>
      </c>
    </row>
    <row r="972" spans="2:11" x14ac:dyDescent="0.25">
      <c r="B972" s="263">
        <v>45824</v>
      </c>
      <c r="C972" s="162">
        <v>6033.11</v>
      </c>
      <c r="D972" s="94">
        <f t="shared" si="45"/>
        <v>9.3927190532994143E-3</v>
      </c>
      <c r="F972" s="161">
        <v>1728.25</v>
      </c>
      <c r="G972" s="94">
        <f t="shared" si="46"/>
        <v>1.2021877122713409E-2</v>
      </c>
      <c r="J972" s="264">
        <v>349.83</v>
      </c>
      <c r="K972" s="94">
        <f t="shared" si="47"/>
        <v>-1.1947127605490659E-2</v>
      </c>
    </row>
    <row r="973" spans="2:11" x14ac:dyDescent="0.25">
      <c r="B973" s="263">
        <v>45825</v>
      </c>
      <c r="C973" s="162">
        <v>5982.72</v>
      </c>
      <c r="D973" s="94">
        <f t="shared" si="45"/>
        <v>-8.3522428730786746E-3</v>
      </c>
      <c r="F973" s="161">
        <v>1701.4</v>
      </c>
      <c r="G973" s="94">
        <f t="shared" si="46"/>
        <v>-1.5535946766960795E-2</v>
      </c>
      <c r="J973" s="264">
        <v>346.14</v>
      </c>
      <c r="K973" s="94">
        <f t="shared" si="47"/>
        <v>-1.0547980447646044E-2</v>
      </c>
    </row>
    <row r="974" spans="2:11" x14ac:dyDescent="0.25">
      <c r="B974" s="263">
        <v>45826</v>
      </c>
      <c r="C974" s="162">
        <v>5980.87</v>
      </c>
      <c r="D974" s="94">
        <f t="shared" si="45"/>
        <v>-3.0922389816012696E-4</v>
      </c>
      <c r="F974" s="161">
        <v>1698.39</v>
      </c>
      <c r="G974" s="94">
        <f t="shared" si="46"/>
        <v>-1.7691313036323209E-3</v>
      </c>
      <c r="J974" s="264">
        <v>350.32</v>
      </c>
      <c r="K974" s="94">
        <f t="shared" si="47"/>
        <v>1.2076038597099492E-2</v>
      </c>
    </row>
    <row r="975" spans="2:11" x14ac:dyDescent="0.25">
      <c r="B975" s="263">
        <v>45828</v>
      </c>
      <c r="C975" s="162">
        <v>5967.84</v>
      </c>
      <c r="D975" s="94">
        <f t="shared" si="45"/>
        <v>-2.1786128105107938E-3</v>
      </c>
      <c r="F975" s="161">
        <v>1695.04</v>
      </c>
      <c r="G975" s="94">
        <f t="shared" si="46"/>
        <v>-1.9724562674062751E-3</v>
      </c>
      <c r="J975" s="264">
        <v>350</v>
      </c>
      <c r="K975" s="94">
        <f t="shared" si="47"/>
        <v>-9.134505594884379E-4</v>
      </c>
    </row>
    <row r="976" spans="2:11" x14ac:dyDescent="0.25">
      <c r="B976" s="263">
        <v>45831</v>
      </c>
      <c r="C976" s="162">
        <v>6025.17</v>
      </c>
      <c r="D976" s="94">
        <f t="shared" si="45"/>
        <v>9.6064907906379116E-3</v>
      </c>
      <c r="F976" s="161">
        <v>1724.7</v>
      </c>
      <c r="G976" s="94">
        <f t="shared" si="46"/>
        <v>1.7498112138946587E-2</v>
      </c>
      <c r="J976" s="264">
        <v>360.19</v>
      </c>
      <c r="K976" s="94">
        <f t="shared" si="47"/>
        <v>2.9114285714285648E-2</v>
      </c>
    </row>
    <row r="977" spans="2:11" x14ac:dyDescent="0.25">
      <c r="B977" s="263">
        <v>45832</v>
      </c>
      <c r="C977" s="162">
        <v>6092.18</v>
      </c>
      <c r="D977" s="94">
        <f t="shared" si="45"/>
        <v>1.1121677894565751E-2</v>
      </c>
      <c r="F977" s="161">
        <v>1737</v>
      </c>
      <c r="G977" s="94">
        <f t="shared" si="46"/>
        <v>7.1316750739258694E-3</v>
      </c>
      <c r="J977" s="264">
        <v>364.11</v>
      </c>
      <c r="K977" s="94">
        <f t="shared" si="47"/>
        <v>1.0883145006802097E-2</v>
      </c>
    </row>
    <row r="978" spans="2:11" x14ac:dyDescent="0.25">
      <c r="B978" s="263">
        <v>45833</v>
      </c>
      <c r="C978" s="162">
        <v>6092.16</v>
      </c>
      <c r="D978" s="94">
        <f t="shared" si="45"/>
        <v>-3.282897091061443E-6</v>
      </c>
      <c r="F978" s="161">
        <v>1717.45</v>
      </c>
      <c r="G978" s="94">
        <f t="shared" si="46"/>
        <v>-1.1255037420840552E-2</v>
      </c>
      <c r="J978" s="264">
        <v>356.09</v>
      </c>
      <c r="K978" s="94">
        <f t="shared" si="47"/>
        <v>-2.2026310730273946E-2</v>
      </c>
    </row>
    <row r="979" spans="2:11" x14ac:dyDescent="0.25">
      <c r="B979" s="263">
        <v>45834</v>
      </c>
      <c r="C979" s="162">
        <v>6141.02</v>
      </c>
      <c r="D979" s="94">
        <f t="shared" si="45"/>
        <v>8.0201439226810223E-3</v>
      </c>
      <c r="F979" s="161">
        <v>1737.72</v>
      </c>
      <c r="G979" s="94">
        <f t="shared" si="46"/>
        <v>1.1802381437596488E-2</v>
      </c>
      <c r="J979" s="264">
        <v>343.42</v>
      </c>
      <c r="K979" s="94">
        <f t="shared" si="47"/>
        <v>-3.5580892471004377E-2</v>
      </c>
    </row>
    <row r="980" spans="2:11" x14ac:dyDescent="0.25">
      <c r="B980" s="263">
        <v>45835</v>
      </c>
      <c r="C980" s="162">
        <v>6173.07</v>
      </c>
      <c r="D980" s="94">
        <f t="shared" si="45"/>
        <v>5.2190027063907518E-3</v>
      </c>
      <c r="F980" s="161">
        <v>1769.09</v>
      </c>
      <c r="G980" s="94">
        <f t="shared" si="46"/>
        <v>1.8052390488686232E-2</v>
      </c>
      <c r="J980" s="264">
        <v>347.61</v>
      </c>
      <c r="K980" s="94">
        <f t="shared" si="47"/>
        <v>1.2200803680624261E-2</v>
      </c>
    </row>
    <row r="981" spans="2:11" x14ac:dyDescent="0.25">
      <c r="B981" s="263">
        <v>45838</v>
      </c>
      <c r="C981" s="162">
        <v>6204.95</v>
      </c>
      <c r="D981" s="94">
        <f t="shared" si="45"/>
        <v>5.1643671625301035E-3</v>
      </c>
      <c r="F981" s="161">
        <v>1753.81</v>
      </c>
      <c r="G981" s="94">
        <f t="shared" si="46"/>
        <v>-8.637208960538989E-3</v>
      </c>
      <c r="J981" s="264">
        <v>336.74</v>
      </c>
      <c r="K981" s="94">
        <f t="shared" si="47"/>
        <v>-3.1270676908029094E-2</v>
      </c>
    </row>
    <row r="982" spans="2:11" x14ac:dyDescent="0.25">
      <c r="B982" s="263">
        <v>45839</v>
      </c>
      <c r="C982" s="162">
        <v>6198.01</v>
      </c>
      <c r="D982" s="94">
        <f t="shared" si="45"/>
        <v>-1.1184618731818752E-3</v>
      </c>
      <c r="F982" s="161">
        <v>1756.91</v>
      </c>
      <c r="G982" s="94">
        <f t="shared" si="46"/>
        <v>1.767580296611504E-3</v>
      </c>
      <c r="J982" s="264">
        <v>335.45</v>
      </c>
      <c r="K982" s="94">
        <f t="shared" si="47"/>
        <v>-3.8308487260201307E-3</v>
      </c>
    </row>
    <row r="983" spans="2:11" x14ac:dyDescent="0.25">
      <c r="B983" s="263">
        <v>45840</v>
      </c>
      <c r="C983" s="162">
        <v>6227.42</v>
      </c>
      <c r="D983" s="94">
        <f t="shared" si="45"/>
        <v>4.7450714019499074E-3</v>
      </c>
      <c r="F983" s="161">
        <v>1770.34</v>
      </c>
      <c r="G983" s="94">
        <f t="shared" si="46"/>
        <v>7.6441024298341542E-3</v>
      </c>
      <c r="J983" s="264">
        <v>326.29000000000002</v>
      </c>
      <c r="K983" s="94">
        <f t="shared" si="47"/>
        <v>-2.7306603070502256E-2</v>
      </c>
    </row>
    <row r="984" spans="2:11" x14ac:dyDescent="0.25">
      <c r="B984" s="263">
        <v>45841</v>
      </c>
      <c r="C984" s="162">
        <v>6279.35</v>
      </c>
      <c r="D984" s="94">
        <f t="shared" si="45"/>
        <v>8.33892687501403E-3</v>
      </c>
      <c r="F984" s="161">
        <v>1783.67</v>
      </c>
      <c r="G984" s="94">
        <f t="shared" si="46"/>
        <v>7.5296270772846619E-3</v>
      </c>
      <c r="J984" s="264">
        <v>327.27999999999997</v>
      </c>
      <c r="K984" s="94">
        <f t="shared" si="47"/>
        <v>3.0341107603664152E-3</v>
      </c>
    </row>
    <row r="985" spans="2:11" x14ac:dyDescent="0.25">
      <c r="B985" s="263">
        <v>45845</v>
      </c>
      <c r="C985" s="162">
        <v>6229.98</v>
      </c>
      <c r="D985" s="94">
        <f t="shared" si="45"/>
        <v>-7.8622787390415505E-3</v>
      </c>
      <c r="F985" s="161">
        <v>1761.18</v>
      </c>
      <c r="G985" s="94">
        <f t="shared" si="46"/>
        <v>-1.2608834593842988E-2</v>
      </c>
      <c r="J985" s="264">
        <v>325.39999999999998</v>
      </c>
      <c r="K985" s="94">
        <f t="shared" si="47"/>
        <v>-5.7443167929601691E-3</v>
      </c>
    </row>
    <row r="986" spans="2:11" x14ac:dyDescent="0.25">
      <c r="B986" s="263">
        <v>45846</v>
      </c>
      <c r="C986" s="162">
        <v>6225.52</v>
      </c>
      <c r="D986" s="94">
        <f t="shared" si="45"/>
        <v>-7.1589314893449885E-4</v>
      </c>
      <c r="F986" s="161">
        <v>1749.96</v>
      </c>
      <c r="G986" s="94">
        <f t="shared" si="46"/>
        <v>-6.3707287159745496E-3</v>
      </c>
      <c r="J986" s="264">
        <v>326.64999999999998</v>
      </c>
      <c r="K986" s="94">
        <f t="shared" si="47"/>
        <v>3.8414259373078519E-3</v>
      </c>
    </row>
    <row r="987" spans="2:11" x14ac:dyDescent="0.25">
      <c r="B987" s="263">
        <v>45847</v>
      </c>
      <c r="C987" s="162">
        <v>6263.26</v>
      </c>
      <c r="D987" s="94">
        <f t="shared" si="45"/>
        <v>6.0621442064276998E-3</v>
      </c>
      <c r="F987" s="161">
        <v>1762.81</v>
      </c>
      <c r="G987" s="94">
        <f t="shared" si="46"/>
        <v>7.3430249834280925E-3</v>
      </c>
      <c r="J987" s="264">
        <v>334.06</v>
      </c>
      <c r="K987" s="94">
        <f t="shared" si="47"/>
        <v>2.2684830858717309E-2</v>
      </c>
    </row>
    <row r="988" spans="2:11" x14ac:dyDescent="0.25">
      <c r="B988" s="263">
        <v>45848</v>
      </c>
      <c r="C988" s="162">
        <v>6280.46</v>
      </c>
      <c r="D988" s="94">
        <f t="shared" si="45"/>
        <v>2.7461737178402501E-3</v>
      </c>
      <c r="F988" s="161">
        <v>1780.11</v>
      </c>
      <c r="G988" s="94">
        <f t="shared" si="46"/>
        <v>9.8138767082101008E-3</v>
      </c>
      <c r="J988" s="264">
        <v>330.16</v>
      </c>
      <c r="K988" s="94">
        <f t="shared" si="47"/>
        <v>-1.1674549482128871E-2</v>
      </c>
    </row>
    <row r="989" spans="2:11" x14ac:dyDescent="0.25">
      <c r="B989" s="263">
        <v>45849</v>
      </c>
      <c r="C989" s="162">
        <v>6259.75</v>
      </c>
      <c r="D989" s="94">
        <f t="shared" si="45"/>
        <v>-3.2975291618766445E-3</v>
      </c>
      <c r="F989" s="161">
        <v>1786.05</v>
      </c>
      <c r="G989" s="94">
        <f t="shared" si="46"/>
        <v>3.336872440467209E-3</v>
      </c>
      <c r="J989" s="264">
        <v>328.21</v>
      </c>
      <c r="K989" s="94">
        <f t="shared" si="47"/>
        <v>-5.9062272837413499E-3</v>
      </c>
    </row>
    <row r="990" spans="2:11" x14ac:dyDescent="0.25">
      <c r="B990" s="263">
        <v>45852</v>
      </c>
      <c r="C990" s="162">
        <v>6268.56</v>
      </c>
      <c r="D990" s="94">
        <f t="shared" si="45"/>
        <v>1.4074044490595128E-3</v>
      </c>
      <c r="F990" s="161">
        <v>1792.66</v>
      </c>
      <c r="G990" s="94">
        <f t="shared" si="46"/>
        <v>3.7009042300049089E-3</v>
      </c>
      <c r="J990" s="264">
        <v>318.27</v>
      </c>
      <c r="K990" s="94">
        <f t="shared" si="47"/>
        <v>-3.0285487949788248E-2</v>
      </c>
    </row>
    <row r="991" spans="2:11" x14ac:dyDescent="0.25">
      <c r="B991" s="263">
        <v>45853</v>
      </c>
      <c r="C991" s="162">
        <v>6243.76</v>
      </c>
      <c r="D991" s="94">
        <f t="shared" si="45"/>
        <v>-3.9562515154996092E-3</v>
      </c>
      <c r="F991" s="161">
        <v>1773.04</v>
      </c>
      <c r="G991" s="94">
        <f t="shared" si="46"/>
        <v>-1.0944629768054215E-2</v>
      </c>
      <c r="J991" s="264">
        <v>317.66000000000003</v>
      </c>
      <c r="K991" s="94">
        <f t="shared" si="47"/>
        <v>-1.916611681905156E-3</v>
      </c>
    </row>
    <row r="992" spans="2:11" x14ac:dyDescent="0.25">
      <c r="B992" s="263">
        <v>45854</v>
      </c>
      <c r="C992" s="162">
        <v>6263.7</v>
      </c>
      <c r="D992" s="94">
        <f t="shared" si="45"/>
        <v>3.193588478737075E-3</v>
      </c>
      <c r="F992" s="161">
        <v>1772.75</v>
      </c>
      <c r="G992" s="94">
        <f t="shared" si="46"/>
        <v>-1.635608897712082E-4</v>
      </c>
      <c r="J992" s="264">
        <v>326.33999999999997</v>
      </c>
      <c r="K992" s="94">
        <f t="shared" si="47"/>
        <v>2.7324812692816058E-2</v>
      </c>
    </row>
    <row r="993" spans="2:11" x14ac:dyDescent="0.25">
      <c r="B993" s="263">
        <v>45855</v>
      </c>
      <c r="C993" s="162">
        <v>6297.36</v>
      </c>
      <c r="D993" s="94">
        <f t="shared" si="45"/>
        <v>5.3738205852771337E-3</v>
      </c>
      <c r="F993" s="161">
        <v>1778.2</v>
      </c>
      <c r="G993" s="94">
        <f t="shared" si="46"/>
        <v>3.0743195600055895E-3</v>
      </c>
      <c r="J993" s="264">
        <v>328.46</v>
      </c>
      <c r="K993" s="94">
        <f t="shared" si="47"/>
        <v>6.4962922105780141E-3</v>
      </c>
    </row>
    <row r="994" spans="2:11" x14ac:dyDescent="0.25">
      <c r="B994" s="263">
        <v>45856</v>
      </c>
      <c r="C994" s="162">
        <v>6296.79</v>
      </c>
      <c r="D994" s="94">
        <f t="shared" si="45"/>
        <v>-9.0514120202667137E-5</v>
      </c>
      <c r="F994" s="161">
        <v>1795.64</v>
      </c>
      <c r="G994" s="94">
        <f t="shared" si="46"/>
        <v>9.8076706782139755E-3</v>
      </c>
      <c r="J994" s="264">
        <v>329.34</v>
      </c>
      <c r="K994" s="94">
        <f t="shared" si="47"/>
        <v>2.6791694574681557E-3</v>
      </c>
    </row>
    <row r="995" spans="2:11" x14ac:dyDescent="0.25">
      <c r="B995" s="263">
        <v>45859</v>
      </c>
      <c r="C995" s="162">
        <v>6305.6</v>
      </c>
      <c r="D995" s="94">
        <f t="shared" si="45"/>
        <v>1.3991255862113583E-3</v>
      </c>
      <c r="F995" s="161">
        <v>1806.44</v>
      </c>
      <c r="G995" s="94">
        <f t="shared" si="46"/>
        <v>6.0145686217727423E-3</v>
      </c>
      <c r="J995" s="264">
        <v>322.57</v>
      </c>
      <c r="K995" s="94">
        <f t="shared" si="47"/>
        <v>-2.055626404323796E-2</v>
      </c>
    </row>
    <row r="996" spans="2:11" x14ac:dyDescent="0.25">
      <c r="B996" s="263">
        <v>45860</v>
      </c>
      <c r="C996" s="162">
        <v>6309.62</v>
      </c>
      <c r="D996" s="94">
        <f t="shared" si="45"/>
        <v>6.3752854605425568E-4</v>
      </c>
      <c r="F996" s="161">
        <v>1818.58</v>
      </c>
      <c r="G996" s="94">
        <f t="shared" si="46"/>
        <v>6.7204003454306438E-3</v>
      </c>
      <c r="J996" s="264">
        <v>320.81</v>
      </c>
      <c r="K996" s="94">
        <f t="shared" si="47"/>
        <v>-5.4561800539417726E-3</v>
      </c>
    </row>
    <row r="997" spans="2:11" x14ac:dyDescent="0.25">
      <c r="B997" s="263">
        <v>45861</v>
      </c>
      <c r="C997" s="162">
        <v>6358.91</v>
      </c>
      <c r="D997" s="94">
        <f t="shared" si="45"/>
        <v>7.8118809056646477E-3</v>
      </c>
      <c r="F997" s="161">
        <v>1826.07</v>
      </c>
      <c r="G997" s="94">
        <f t="shared" si="46"/>
        <v>4.1185980270321831E-3</v>
      </c>
      <c r="J997" s="264">
        <v>319.26</v>
      </c>
      <c r="K997" s="94">
        <f t="shared" si="47"/>
        <v>-4.8315202144572078E-3</v>
      </c>
    </row>
    <row r="998" spans="2:11" x14ac:dyDescent="0.25">
      <c r="B998" s="263">
        <v>45862</v>
      </c>
      <c r="C998" s="162">
        <v>6363.35</v>
      </c>
      <c r="D998" s="94">
        <f t="shared" si="45"/>
        <v>6.9823287324410899E-4</v>
      </c>
      <c r="F998" s="161">
        <v>1803.66</v>
      </c>
      <c r="G998" s="94">
        <f t="shared" si="46"/>
        <v>-1.2272256813813165E-2</v>
      </c>
      <c r="J998" s="264">
        <v>299.63</v>
      </c>
      <c r="K998" s="94">
        <f t="shared" si="47"/>
        <v>-6.1485936227526183E-2</v>
      </c>
    </row>
    <row r="999" spans="2:11" x14ac:dyDescent="0.25">
      <c r="B999" s="263">
        <v>45863</v>
      </c>
      <c r="C999" s="162">
        <v>6388.64</v>
      </c>
      <c r="D999" s="94">
        <f t="shared" si="45"/>
        <v>3.9743217016194876E-3</v>
      </c>
      <c r="F999" s="161">
        <v>1817.76</v>
      </c>
      <c r="G999" s="94">
        <f t="shared" si="46"/>
        <v>7.8174378763180563E-3</v>
      </c>
      <c r="J999" s="264">
        <v>302.01</v>
      </c>
      <c r="K999" s="94">
        <f t="shared" si="47"/>
        <v>7.9431298601608802E-3</v>
      </c>
    </row>
    <row r="1000" spans="2:11" x14ac:dyDescent="0.25">
      <c r="B1000" s="263">
        <v>45866</v>
      </c>
      <c r="C1000" s="162">
        <v>6389.77</v>
      </c>
      <c r="D1000" s="94">
        <f t="shared" si="45"/>
        <v>1.7687645570885202E-4</v>
      </c>
      <c r="F1000" s="161">
        <v>1830.35</v>
      </c>
      <c r="G1000" s="94">
        <f t="shared" si="46"/>
        <v>6.9261068567907369E-3</v>
      </c>
      <c r="J1000" s="264">
        <v>289.44</v>
      </c>
      <c r="K1000" s="94">
        <f t="shared" si="47"/>
        <v>-4.1621138372901489E-2</v>
      </c>
    </row>
    <row r="1001" spans="2:11" x14ac:dyDescent="0.25">
      <c r="B1001" s="263">
        <v>45867</v>
      </c>
      <c r="C1001" s="162">
        <v>6370.86</v>
      </c>
      <c r="D1001" s="94">
        <f t="shared" si="45"/>
        <v>-2.9594179446209568E-3</v>
      </c>
      <c r="F1001" s="161">
        <v>1816.96</v>
      </c>
      <c r="G1001" s="94">
        <f t="shared" si="46"/>
        <v>-7.3155407435735453E-3</v>
      </c>
      <c r="J1001" s="264">
        <v>290.3</v>
      </c>
      <c r="K1001" s="94">
        <f t="shared" si="47"/>
        <v>2.9712548369265068E-3</v>
      </c>
    </row>
    <row r="1002" spans="2:11" x14ac:dyDescent="0.25">
      <c r="B1002" s="263">
        <v>45868</v>
      </c>
      <c r="C1002" s="162">
        <v>6362.9</v>
      </c>
      <c r="D1002" s="94">
        <f t="shared" si="45"/>
        <v>-1.249438851269713E-3</v>
      </c>
      <c r="F1002" s="161">
        <v>1806.62</v>
      </c>
      <c r="G1002" s="94">
        <f t="shared" si="46"/>
        <v>-5.6908242338852277E-3</v>
      </c>
      <c r="J1002" s="264">
        <v>368.26</v>
      </c>
      <c r="K1002" s="94">
        <f t="shared" si="47"/>
        <v>0.26854977609369612</v>
      </c>
    </row>
    <row r="1003" spans="2:11" x14ac:dyDescent="0.25">
      <c r="B1003" s="263">
        <v>45869</v>
      </c>
      <c r="C1003" s="162">
        <v>6339.39</v>
      </c>
      <c r="D1003" s="94">
        <f t="shared" si="45"/>
        <v>-3.6948561190650597E-3</v>
      </c>
      <c r="F1003" s="161">
        <v>1799.72</v>
      </c>
      <c r="G1003" s="94">
        <f t="shared" si="46"/>
        <v>-3.8192868450476203E-3</v>
      </c>
      <c r="J1003" s="264">
        <v>377.34</v>
      </c>
      <c r="K1003" s="94">
        <f t="shared" si="47"/>
        <v>2.4656492695378285E-2</v>
      </c>
    </row>
    <row r="1004" spans="2:11" x14ac:dyDescent="0.25">
      <c r="B1004" s="263">
        <v>45870</v>
      </c>
      <c r="C1004" s="162">
        <v>6238.01</v>
      </c>
      <c r="D1004" s="94">
        <f t="shared" si="45"/>
        <v>-1.5992074947274171E-2</v>
      </c>
      <c r="F1004" s="161">
        <v>1735.16</v>
      </c>
      <c r="G1004" s="94">
        <f t="shared" si="46"/>
        <v>-3.5872246793945739E-2</v>
      </c>
      <c r="J1004" s="264">
        <v>362.45</v>
      </c>
      <c r="K1004" s="94">
        <f t="shared" si="47"/>
        <v>-3.9460433561244512E-2</v>
      </c>
    </row>
    <row r="1005" spans="2:11" x14ac:dyDescent="0.25">
      <c r="B1005" s="263">
        <v>45873</v>
      </c>
      <c r="C1005" s="162">
        <v>6329.94</v>
      </c>
      <c r="D1005" s="94">
        <f t="shared" si="45"/>
        <v>1.473707159815385E-2</v>
      </c>
      <c r="F1005" s="161">
        <v>1746.96</v>
      </c>
      <c r="G1005" s="94">
        <f t="shared" si="46"/>
        <v>6.8005255999445957E-3</v>
      </c>
      <c r="J1005" s="264">
        <v>348.67</v>
      </c>
      <c r="K1005" s="94">
        <f t="shared" si="47"/>
        <v>-3.8019037108566578E-2</v>
      </c>
    </row>
    <row r="1006" spans="2:11" x14ac:dyDescent="0.25">
      <c r="B1006" s="263">
        <v>45874</v>
      </c>
      <c r="C1006" s="162">
        <v>6299.19</v>
      </c>
      <c r="D1006" s="94">
        <f t="shared" si="45"/>
        <v>-4.8578659513360822E-3</v>
      </c>
      <c r="F1006" s="161">
        <v>1752.11</v>
      </c>
      <c r="G1006" s="94">
        <f t="shared" si="46"/>
        <v>2.947978202133994E-3</v>
      </c>
      <c r="J1006" s="264">
        <v>338.57</v>
      </c>
      <c r="K1006" s="94">
        <f t="shared" si="47"/>
        <v>-2.8967218286632068E-2</v>
      </c>
    </row>
    <row r="1007" spans="2:11" x14ac:dyDescent="0.25">
      <c r="B1007" s="263">
        <v>45875</v>
      </c>
      <c r="C1007" s="162">
        <v>6345.06</v>
      </c>
      <c r="D1007" s="94">
        <f t="shared" si="45"/>
        <v>7.2818886237755454E-3</v>
      </c>
      <c r="F1007" s="161">
        <v>1796.02</v>
      </c>
      <c r="G1007" s="94">
        <f t="shared" si="46"/>
        <v>2.5061211910211156E-2</v>
      </c>
      <c r="J1007" s="264">
        <v>335.95</v>
      </c>
      <c r="K1007" s="94">
        <f t="shared" si="47"/>
        <v>-7.7384292760729334E-3</v>
      </c>
    </row>
    <row r="1008" spans="2:11" x14ac:dyDescent="0.25">
      <c r="B1008" s="263">
        <v>45876</v>
      </c>
      <c r="C1008" s="162">
        <v>6340</v>
      </c>
      <c r="D1008" s="94">
        <f t="shared" si="45"/>
        <v>-7.9747078829839335E-4</v>
      </c>
      <c r="F1008" s="161">
        <v>1797.93</v>
      </c>
      <c r="G1008" s="94">
        <f t="shared" si="46"/>
        <v>1.0634625449605917E-3</v>
      </c>
      <c r="J1008" s="264">
        <v>330.72</v>
      </c>
      <c r="K1008" s="94">
        <f t="shared" si="47"/>
        <v>-1.5567792826313376E-2</v>
      </c>
    </row>
    <row r="1009" spans="2:11" x14ac:dyDescent="0.25">
      <c r="B1009" s="263">
        <v>45877</v>
      </c>
      <c r="C1009" s="162">
        <v>6389.45</v>
      </c>
      <c r="D1009" s="94">
        <f t="shared" si="45"/>
        <v>7.7996845425867267E-3</v>
      </c>
      <c r="F1009" s="161">
        <v>1801.32</v>
      </c>
      <c r="G1009" s="94">
        <f t="shared" si="46"/>
        <v>1.8855016602425945E-3</v>
      </c>
      <c r="J1009" s="264">
        <v>315.36</v>
      </c>
      <c r="K1009" s="94">
        <f t="shared" si="47"/>
        <v>-4.6444121915820036E-2</v>
      </c>
    </row>
    <row r="1010" spans="2:11" x14ac:dyDescent="0.25">
      <c r="B1010" s="263">
        <v>45880</v>
      </c>
      <c r="C1010" s="162">
        <v>6373.45</v>
      </c>
      <c r="D1010" s="94">
        <f t="shared" si="45"/>
        <v>-2.5041278983324311E-3</v>
      </c>
      <c r="F1010" s="161">
        <v>1803.81</v>
      </c>
      <c r="G1010" s="94">
        <f t="shared" si="46"/>
        <v>1.3823196322697573E-3</v>
      </c>
      <c r="J1010" s="264">
        <v>328.55</v>
      </c>
      <c r="K1010" s="94">
        <f t="shared" si="47"/>
        <v>4.1825215626585477E-2</v>
      </c>
    </row>
    <row r="1011" spans="2:11" x14ac:dyDescent="0.25">
      <c r="B1011" s="263">
        <v>45881</v>
      </c>
      <c r="C1011" s="162">
        <v>6445.76</v>
      </c>
      <c r="D1011" s="94">
        <f t="shared" si="45"/>
        <v>1.1345503612643082E-2</v>
      </c>
      <c r="F1011" s="161">
        <v>1819.57</v>
      </c>
      <c r="G1011" s="94">
        <f t="shared" si="46"/>
        <v>8.7370621074280841E-3</v>
      </c>
      <c r="J1011" s="264">
        <v>342.16</v>
      </c>
      <c r="K1011" s="94">
        <f t="shared" si="47"/>
        <v>4.1424440724395106E-2</v>
      </c>
    </row>
    <row r="1012" spans="2:11" x14ac:dyDescent="0.25">
      <c r="B1012" s="263">
        <v>45882</v>
      </c>
      <c r="C1012" s="162">
        <v>6466.58</v>
      </c>
      <c r="D1012" s="94">
        <f t="shared" si="45"/>
        <v>3.2300302834731287E-3</v>
      </c>
      <c r="F1012" s="161">
        <v>1843.02</v>
      </c>
      <c r="G1012" s="94">
        <f t="shared" si="46"/>
        <v>1.2887660271382773E-2</v>
      </c>
      <c r="J1012" s="264">
        <v>342.73</v>
      </c>
      <c r="K1012" s="94">
        <f t="shared" si="47"/>
        <v>1.6658873041852651E-3</v>
      </c>
    </row>
    <row r="1013" spans="2:11" x14ac:dyDescent="0.25">
      <c r="B1013" s="263">
        <v>45883</v>
      </c>
      <c r="C1013" s="162">
        <v>6468.54</v>
      </c>
      <c r="D1013" s="94">
        <f t="shared" si="45"/>
        <v>3.0309684562790373E-4</v>
      </c>
      <c r="F1013" s="161">
        <v>1851.33</v>
      </c>
      <c r="G1013" s="94">
        <f t="shared" si="46"/>
        <v>4.5089038643095769E-3</v>
      </c>
      <c r="J1013" s="264">
        <v>325.58999999999997</v>
      </c>
      <c r="K1013" s="94">
        <f t="shared" si="47"/>
        <v>-5.0010212120328079E-2</v>
      </c>
    </row>
    <row r="1014" spans="2:11" x14ac:dyDescent="0.25">
      <c r="B1014" s="263">
        <v>45884</v>
      </c>
      <c r="C1014" s="162">
        <v>6449.8</v>
      </c>
      <c r="D1014" s="94">
        <f t="shared" si="45"/>
        <v>-2.8970988816641174E-3</v>
      </c>
      <c r="F1014" s="161">
        <v>1846.34</v>
      </c>
      <c r="G1014" s="94">
        <f t="shared" si="46"/>
        <v>-2.6953595523218077E-3</v>
      </c>
      <c r="J1014" s="264">
        <v>336.84</v>
      </c>
      <c r="K1014" s="94">
        <f t="shared" si="47"/>
        <v>3.4552658251174817E-2</v>
      </c>
    </row>
    <row r="1015" spans="2:11" x14ac:dyDescent="0.25">
      <c r="B1015" s="263">
        <v>45887</v>
      </c>
      <c r="C1015" s="162">
        <v>6449.15</v>
      </c>
      <c r="D1015" s="94">
        <f t="shared" si="45"/>
        <v>-1.0077831870769494E-4</v>
      </c>
      <c r="F1015" s="161">
        <v>1853.4</v>
      </c>
      <c r="G1015" s="94">
        <f t="shared" si="46"/>
        <v>3.8237811020722656E-3</v>
      </c>
      <c r="J1015" s="264">
        <v>339.63</v>
      </c>
      <c r="K1015" s="94">
        <f t="shared" si="47"/>
        <v>8.2828642679018127E-3</v>
      </c>
    </row>
    <row r="1016" spans="2:11" x14ac:dyDescent="0.25">
      <c r="B1016" s="263">
        <v>45888</v>
      </c>
      <c r="C1016" s="162">
        <v>6411.37</v>
      </c>
      <c r="D1016" s="94">
        <f t="shared" si="45"/>
        <v>-5.8581363435491474E-3</v>
      </c>
      <c r="F1016" s="161">
        <v>1846.45</v>
      </c>
      <c r="G1016" s="94">
        <f t="shared" si="46"/>
        <v>-3.7498651127657601E-3</v>
      </c>
      <c r="J1016" s="264">
        <v>330.92</v>
      </c>
      <c r="K1016" s="94">
        <f t="shared" si="47"/>
        <v>-2.564555545740943E-2</v>
      </c>
    </row>
    <row r="1017" spans="2:11" x14ac:dyDescent="0.25">
      <c r="B1017" s="263">
        <v>45889</v>
      </c>
      <c r="C1017" s="162">
        <v>6395.78</v>
      </c>
      <c r="D1017" s="94">
        <f t="shared" si="45"/>
        <v>-2.4316175793941408E-3</v>
      </c>
      <c r="F1017" s="161">
        <v>1824.65</v>
      </c>
      <c r="G1017" s="94">
        <f t="shared" si="46"/>
        <v>-1.1806439383682199E-2</v>
      </c>
      <c r="J1017" s="264">
        <v>329.26</v>
      </c>
      <c r="K1017" s="94">
        <f t="shared" si="47"/>
        <v>-5.0163181433580117E-3</v>
      </c>
    </row>
    <row r="1018" spans="2:11" x14ac:dyDescent="0.25">
      <c r="B1018" s="263">
        <v>45890</v>
      </c>
      <c r="C1018" s="162">
        <v>6370.17</v>
      </c>
      <c r="D1018" s="94">
        <f t="shared" si="45"/>
        <v>-4.0042027712021699E-3</v>
      </c>
      <c r="F1018" s="161">
        <v>1812.21</v>
      </c>
      <c r="G1018" s="94">
        <f t="shared" si="46"/>
        <v>-6.8177458690708015E-3</v>
      </c>
      <c r="J1018" s="264">
        <v>318.77</v>
      </c>
      <c r="K1018" s="94">
        <f t="shared" si="47"/>
        <v>-3.18593209014153E-2</v>
      </c>
    </row>
    <row r="1019" spans="2:11" x14ac:dyDescent="0.25">
      <c r="B1019" s="263">
        <v>45891</v>
      </c>
      <c r="C1019" s="162">
        <v>6466.91</v>
      </c>
      <c r="D1019" s="94">
        <f t="shared" si="45"/>
        <v>1.518640789806236E-2</v>
      </c>
      <c r="F1019" s="161">
        <v>1869.91</v>
      </c>
      <c r="G1019" s="94">
        <f t="shared" si="46"/>
        <v>3.1839577090955196E-2</v>
      </c>
      <c r="J1019" s="264">
        <v>332.19</v>
      </c>
      <c r="K1019" s="94">
        <f t="shared" si="47"/>
        <v>4.2099319258399603E-2</v>
      </c>
    </row>
    <row r="1020" spans="2:11" x14ac:dyDescent="0.25">
      <c r="B1020" s="263">
        <v>45894</v>
      </c>
      <c r="C1020" s="162">
        <v>6439.32</v>
      </c>
      <c r="D1020" s="94">
        <f t="shared" si="45"/>
        <v>-4.2663343080389105E-3</v>
      </c>
      <c r="F1020" s="161">
        <v>1867.41</v>
      </c>
      <c r="G1020" s="94">
        <f t="shared" si="46"/>
        <v>-1.3369627415222851E-3</v>
      </c>
      <c r="J1020" s="264">
        <v>320.07</v>
      </c>
      <c r="K1020" s="94">
        <f t="shared" si="47"/>
        <v>-3.6485144044071216E-2</v>
      </c>
    </row>
    <row r="1021" spans="2:11" x14ac:dyDescent="0.25">
      <c r="B1021" s="263">
        <v>45895</v>
      </c>
      <c r="C1021" s="162">
        <v>6465.94</v>
      </c>
      <c r="D1021" s="94">
        <f t="shared" si="45"/>
        <v>4.1339768795463083E-3</v>
      </c>
      <c r="F1021" s="161">
        <v>1875.34</v>
      </c>
      <c r="G1021" s="94">
        <f t="shared" si="46"/>
        <v>4.2465232594877111E-3</v>
      </c>
      <c r="J1021" s="264">
        <v>325.33999999999997</v>
      </c>
      <c r="K1021" s="94">
        <f t="shared" si="47"/>
        <v>1.6465148248820505E-2</v>
      </c>
    </row>
    <row r="1022" spans="2:11" x14ac:dyDescent="0.25">
      <c r="B1022" s="263">
        <v>45896</v>
      </c>
      <c r="C1022" s="162">
        <v>6481.4</v>
      </c>
      <c r="D1022" s="94">
        <f t="shared" si="45"/>
        <v>2.3909903277790079E-3</v>
      </c>
      <c r="F1022" s="161">
        <v>1876.32</v>
      </c>
      <c r="G1022" s="94">
        <f t="shared" si="46"/>
        <v>5.2257190696081146E-4</v>
      </c>
      <c r="J1022" s="264">
        <v>339.33</v>
      </c>
      <c r="K1022" s="94">
        <f t="shared" si="47"/>
        <v>4.3001168008852231E-2</v>
      </c>
    </row>
    <row r="1023" spans="2:11" x14ac:dyDescent="0.25">
      <c r="B1023" s="263">
        <v>45897</v>
      </c>
      <c r="C1023" s="162">
        <v>6501.86</v>
      </c>
      <c r="D1023" s="94">
        <f t="shared" si="45"/>
        <v>3.1567253988336041E-3</v>
      </c>
      <c r="F1023" s="161">
        <v>1881.57</v>
      </c>
      <c r="G1023" s="94">
        <f t="shared" si="46"/>
        <v>2.7980301867485124E-3</v>
      </c>
      <c r="J1023" s="264">
        <v>338.62</v>
      </c>
      <c r="K1023" s="94">
        <f t="shared" si="47"/>
        <v>-2.0923584711047827E-3</v>
      </c>
    </row>
    <row r="1024" spans="2:11" x14ac:dyDescent="0.25">
      <c r="B1024" s="263">
        <v>45898</v>
      </c>
      <c r="C1024" s="162">
        <v>6460.26</v>
      </c>
      <c r="D1024" s="94">
        <f t="shared" si="45"/>
        <v>-6.3981691392923645E-3</v>
      </c>
      <c r="F1024" s="161">
        <v>1860.03</v>
      </c>
      <c r="G1024" s="94">
        <f t="shared" si="46"/>
        <v>-1.1447886605334912E-2</v>
      </c>
      <c r="J1024" s="264">
        <v>328.12</v>
      </c>
      <c r="K1024" s="94">
        <f t="shared" si="47"/>
        <v>-3.1008209792687924E-2</v>
      </c>
    </row>
    <row r="1025" spans="2:11" x14ac:dyDescent="0.25">
      <c r="B1025" s="263">
        <v>45902</v>
      </c>
      <c r="C1025" s="162">
        <v>6415.54</v>
      </c>
      <c r="D1025" s="94">
        <f t="shared" si="45"/>
        <v>-6.9223220118076467E-3</v>
      </c>
      <c r="F1025" s="161">
        <v>1842.44</v>
      </c>
      <c r="G1025" s="94">
        <f t="shared" si="46"/>
        <v>-9.456836717687267E-3</v>
      </c>
      <c r="J1025" s="264">
        <v>318.61</v>
      </c>
      <c r="K1025" s="94">
        <f t="shared" si="47"/>
        <v>-2.8983298793124446E-2</v>
      </c>
    </row>
    <row r="1026" spans="2:11" x14ac:dyDescent="0.25">
      <c r="B1026" s="263">
        <v>45903</v>
      </c>
      <c r="C1026" s="162">
        <v>6448.26</v>
      </c>
      <c r="D1026" s="94">
        <f t="shared" si="45"/>
        <v>5.1001162801573852E-3</v>
      </c>
      <c r="F1026" s="161">
        <v>1850.34</v>
      </c>
      <c r="G1026" s="94">
        <f t="shared" si="46"/>
        <v>4.2877922754607223E-3</v>
      </c>
      <c r="J1026" s="264">
        <v>322.83</v>
      </c>
      <c r="K1026" s="94">
        <f t="shared" si="47"/>
        <v>1.3245033112582627E-2</v>
      </c>
    </row>
    <row r="1027" spans="2:11" x14ac:dyDescent="0.25">
      <c r="B1027" s="263">
        <v>45904</v>
      </c>
      <c r="C1027" s="162">
        <v>6502.08</v>
      </c>
      <c r="D1027" s="94">
        <f t="shared" si="45"/>
        <v>8.3464376436432897E-3</v>
      </c>
      <c r="F1027" s="161">
        <v>1892</v>
      </c>
      <c r="G1027" s="94">
        <f t="shared" si="46"/>
        <v>2.2514781067263456E-2</v>
      </c>
      <c r="J1027" s="264">
        <v>308.82</v>
      </c>
      <c r="K1027" s="94">
        <f t="shared" si="47"/>
        <v>-4.3397453768237115E-2</v>
      </c>
    </row>
    <row r="1028" spans="2:11" x14ac:dyDescent="0.25">
      <c r="B1028" s="263">
        <v>45905</v>
      </c>
      <c r="C1028" s="162">
        <v>6481.5</v>
      </c>
      <c r="D1028" s="94">
        <f t="shared" si="45"/>
        <v>-3.1651410010334891E-3</v>
      </c>
      <c r="F1028" s="161">
        <v>1889.68</v>
      </c>
      <c r="G1028" s="94">
        <f t="shared" si="46"/>
        <v>-1.2262156448202832E-3</v>
      </c>
      <c r="J1028" s="264">
        <v>309.79000000000002</v>
      </c>
      <c r="K1028" s="94">
        <f t="shared" si="47"/>
        <v>3.1409882779613874E-3</v>
      </c>
    </row>
    <row r="1029" spans="2:11" x14ac:dyDescent="0.25">
      <c r="B1029" s="263">
        <v>45908</v>
      </c>
      <c r="C1029" s="162">
        <v>6495.15</v>
      </c>
      <c r="D1029" s="94">
        <f t="shared" si="45"/>
        <v>2.1059939828742547E-3</v>
      </c>
      <c r="F1029" s="161">
        <v>1899.71</v>
      </c>
      <c r="G1029" s="94">
        <f t="shared" si="46"/>
        <v>5.3077769781126882E-3</v>
      </c>
      <c r="J1029" s="264">
        <v>304.77999999999997</v>
      </c>
      <c r="K1029" s="94">
        <f t="shared" si="47"/>
        <v>-1.6172245714839217E-2</v>
      </c>
    </row>
    <row r="1030" spans="2:11" x14ac:dyDescent="0.25">
      <c r="B1030" s="263">
        <v>45909</v>
      </c>
      <c r="C1030" s="162">
        <v>6512.61</v>
      </c>
      <c r="D1030" s="94">
        <f t="shared" si="45"/>
        <v>2.6881596267984698E-3</v>
      </c>
      <c r="F1030" s="161">
        <v>1901.39</v>
      </c>
      <c r="G1030" s="94">
        <f t="shared" si="46"/>
        <v>8.8434550536664602E-4</v>
      </c>
      <c r="J1030" s="264">
        <v>287.45</v>
      </c>
      <c r="K1030" s="94">
        <f t="shared" si="47"/>
        <v>-5.686068639674513E-2</v>
      </c>
    </row>
    <row r="1031" spans="2:11" x14ac:dyDescent="0.25">
      <c r="B1031" s="263">
        <v>45910</v>
      </c>
      <c r="C1031" s="162">
        <v>6532.04</v>
      </c>
      <c r="D1031" s="94">
        <f t="shared" si="45"/>
        <v>2.9834428900241683E-3</v>
      </c>
      <c r="F1031" s="161">
        <v>1871.36</v>
      </c>
      <c r="G1031" s="94">
        <f t="shared" si="46"/>
        <v>-1.579370881302633E-2</v>
      </c>
      <c r="J1031" s="264">
        <v>280.64999999999998</v>
      </c>
      <c r="K1031" s="94">
        <f t="shared" si="47"/>
        <v>-2.3656288050095675E-2</v>
      </c>
    </row>
    <row r="1032" spans="2:11" x14ac:dyDescent="0.25">
      <c r="B1032" s="263">
        <v>45911</v>
      </c>
      <c r="C1032" s="162">
        <v>6587.47</v>
      </c>
      <c r="D1032" s="94">
        <f t="shared" si="45"/>
        <v>8.4858635280862238E-3</v>
      </c>
      <c r="F1032" s="161">
        <v>1903.18</v>
      </c>
      <c r="G1032" s="94">
        <f t="shared" si="46"/>
        <v>1.7003676470588314E-2</v>
      </c>
      <c r="J1032" s="264">
        <v>274.7</v>
      </c>
      <c r="K1032" s="94">
        <f t="shared" si="47"/>
        <v>-2.1200783894530506E-2</v>
      </c>
    </row>
    <row r="1033" spans="2:11" x14ac:dyDescent="0.25">
      <c r="B1033" s="263">
        <v>45912</v>
      </c>
      <c r="C1033" s="162">
        <v>6584.29</v>
      </c>
      <c r="D1033" s="94">
        <f t="shared" ref="D1033:D1096" si="48">C1033/C1032-1</f>
        <v>-4.8273464622994311E-4</v>
      </c>
      <c r="F1033" s="161">
        <v>1914</v>
      </c>
      <c r="G1033" s="94">
        <f t="shared" ref="G1033:G1096" si="49">F1033/F1032-1</f>
        <v>5.6852215765192948E-3</v>
      </c>
      <c r="J1033" s="264">
        <v>266.02</v>
      </c>
      <c r="K1033" s="94">
        <f t="shared" si="47"/>
        <v>-3.1598107025846423E-2</v>
      </c>
    </row>
    <row r="1034" spans="2:11" x14ac:dyDescent="0.25">
      <c r="B1034" s="263">
        <v>45915</v>
      </c>
      <c r="C1034" s="162">
        <v>6615.28</v>
      </c>
      <c r="D1034" s="94">
        <f t="shared" si="48"/>
        <v>4.7066578173196039E-3</v>
      </c>
      <c r="F1034" s="161">
        <v>1934.96</v>
      </c>
      <c r="G1034" s="94">
        <f t="shared" si="49"/>
        <v>1.0950888192267527E-2</v>
      </c>
      <c r="J1034" s="264">
        <v>267.52</v>
      </c>
      <c r="K1034" s="94">
        <f t="shared" ref="K1034:K1097" si="50">J1034/J1033-1</f>
        <v>5.6386737839260181E-3</v>
      </c>
    </row>
    <row r="1035" spans="2:11" x14ac:dyDescent="0.25">
      <c r="B1035" s="263">
        <v>45916</v>
      </c>
      <c r="C1035" s="162">
        <v>6606.76</v>
      </c>
      <c r="D1035" s="94">
        <f t="shared" si="48"/>
        <v>-1.2879273439672101E-3</v>
      </c>
      <c r="F1035" s="161">
        <v>1950.89</v>
      </c>
      <c r="G1035" s="94">
        <f t="shared" si="49"/>
        <v>8.2327283251333316E-3</v>
      </c>
      <c r="J1035" s="264">
        <v>261.14</v>
      </c>
      <c r="K1035" s="94">
        <f t="shared" si="50"/>
        <v>-2.3848684210526327E-2</v>
      </c>
    </row>
    <row r="1036" spans="2:11" x14ac:dyDescent="0.25">
      <c r="B1036" s="263">
        <v>45917</v>
      </c>
      <c r="C1036" s="162">
        <v>6600.35</v>
      </c>
      <c r="D1036" s="94">
        <f t="shared" si="48"/>
        <v>-9.7021838238409153E-4</v>
      </c>
      <c r="F1036" s="161">
        <v>1944.88</v>
      </c>
      <c r="G1036" s="94">
        <f t="shared" si="49"/>
        <v>-3.0806452439655629E-3</v>
      </c>
      <c r="J1036" s="264">
        <v>257.03500000000003</v>
      </c>
      <c r="K1036" s="94">
        <f t="shared" si="50"/>
        <v>-1.571953741288179E-2</v>
      </c>
    </row>
    <row r="1037" spans="2:11" x14ac:dyDescent="0.25">
      <c r="B1037" s="263">
        <v>45918</v>
      </c>
      <c r="C1037" s="162">
        <v>6631.96</v>
      </c>
      <c r="D1037" s="94">
        <f t="shared" si="48"/>
        <v>4.7891399698500869E-3</v>
      </c>
      <c r="F1037" s="161">
        <v>1935.03</v>
      </c>
      <c r="G1037" s="94">
        <f t="shared" si="49"/>
        <v>-5.0645798198346581E-3</v>
      </c>
      <c r="J1037" s="264">
        <v>255.87</v>
      </c>
      <c r="K1037" s="94">
        <f t="shared" si="50"/>
        <v>-4.5324566693252244E-3</v>
      </c>
    </row>
    <row r="1038" spans="2:11" x14ac:dyDescent="0.25">
      <c r="B1038" s="263">
        <v>45919</v>
      </c>
      <c r="C1038" s="162">
        <v>6664.36</v>
      </c>
      <c r="D1038" s="94">
        <f t="shared" si="48"/>
        <v>4.8854335671504323E-3</v>
      </c>
      <c r="F1038" s="161">
        <v>1941.7</v>
      </c>
      <c r="G1038" s="94">
        <f t="shared" si="49"/>
        <v>3.4469749823000662E-3</v>
      </c>
      <c r="J1038" s="264">
        <v>253.55</v>
      </c>
      <c r="K1038" s="94">
        <f t="shared" si="50"/>
        <v>-9.0671043889475333E-3</v>
      </c>
    </row>
    <row r="1039" spans="2:11" x14ac:dyDescent="0.25">
      <c r="B1039" s="263">
        <v>45922</v>
      </c>
      <c r="C1039" s="162">
        <v>6693.75</v>
      </c>
      <c r="D1039" s="94">
        <f t="shared" si="48"/>
        <v>4.4100258689507843E-3</v>
      </c>
      <c r="F1039" s="161">
        <v>1933.28</v>
      </c>
      <c r="G1039" s="94">
        <f t="shared" si="49"/>
        <v>-4.3364062419529725E-3</v>
      </c>
      <c r="J1039" s="264">
        <v>255.83</v>
      </c>
      <c r="K1039" s="94">
        <f t="shared" si="50"/>
        <v>8.9923092092289991E-3</v>
      </c>
    </row>
    <row r="1040" spans="2:11" x14ac:dyDescent="0.25">
      <c r="B1040" s="263">
        <v>45923</v>
      </c>
      <c r="C1040" s="162">
        <v>6656.92</v>
      </c>
      <c r="D1040" s="94">
        <f t="shared" si="48"/>
        <v>-5.5021475256769037E-3</v>
      </c>
      <c r="F1040" s="161">
        <v>1905.48</v>
      </c>
      <c r="G1040" s="94">
        <f t="shared" si="49"/>
        <v>-1.4379707026400679E-2</v>
      </c>
      <c r="J1040" s="264">
        <v>254.06</v>
      </c>
      <c r="K1040" s="94">
        <f t="shared" si="50"/>
        <v>-6.9186569206113324E-3</v>
      </c>
    </row>
    <row r="1041" spans="2:11" x14ac:dyDescent="0.25">
      <c r="B1041" s="263">
        <v>45924</v>
      </c>
      <c r="C1041" s="162">
        <v>6637.97</v>
      </c>
      <c r="D1041" s="94">
        <f t="shared" si="48"/>
        <v>-2.8466618195801541E-3</v>
      </c>
      <c r="F1041" s="161">
        <v>1918.77</v>
      </c>
      <c r="G1041" s="94">
        <f t="shared" si="49"/>
        <v>6.974620568045875E-3</v>
      </c>
      <c r="J1041" s="264">
        <v>253.07</v>
      </c>
      <c r="K1041" s="94">
        <f t="shared" si="50"/>
        <v>-3.8967173108714892E-3</v>
      </c>
    </row>
    <row r="1042" spans="2:11" x14ac:dyDescent="0.25">
      <c r="B1042" s="263">
        <v>45925</v>
      </c>
      <c r="C1042" s="162">
        <v>6604.72</v>
      </c>
      <c r="D1042" s="94">
        <f t="shared" si="48"/>
        <v>-5.0090615052493792E-3</v>
      </c>
      <c r="F1042" s="161">
        <v>1890.66</v>
      </c>
      <c r="G1042" s="94">
        <f t="shared" si="49"/>
        <v>-1.4650010162760463E-2</v>
      </c>
      <c r="J1042" s="264">
        <v>249.23</v>
      </c>
      <c r="K1042" s="94">
        <f t="shared" si="50"/>
        <v>-1.5173667364760779E-2</v>
      </c>
    </row>
    <row r="1043" spans="2:11" x14ac:dyDescent="0.25">
      <c r="B1043" s="263">
        <v>45926</v>
      </c>
      <c r="C1043" s="162">
        <v>6643.7</v>
      </c>
      <c r="D1043" s="94">
        <f t="shared" si="48"/>
        <v>5.9018398963164298E-3</v>
      </c>
      <c r="F1043" s="161">
        <v>1918.05</v>
      </c>
      <c r="G1043" s="94">
        <f t="shared" si="49"/>
        <v>1.4487004538097814E-2</v>
      </c>
      <c r="J1043" s="264">
        <v>247.44</v>
      </c>
      <c r="K1043" s="94">
        <f t="shared" si="50"/>
        <v>-7.1821209324719471E-3</v>
      </c>
    </row>
    <row r="1044" spans="2:11" x14ac:dyDescent="0.25">
      <c r="B1044" s="263">
        <v>45929</v>
      </c>
      <c r="C1044" s="162">
        <v>6661.21</v>
      </c>
      <c r="D1044" s="94">
        <f t="shared" si="48"/>
        <v>2.6355795716241914E-3</v>
      </c>
      <c r="F1044" s="161">
        <v>1928.67</v>
      </c>
      <c r="G1044" s="94">
        <f t="shared" si="49"/>
        <v>5.5368733870337916E-3</v>
      </c>
      <c r="J1044" s="264">
        <v>251.84</v>
      </c>
      <c r="K1044" s="94">
        <f t="shared" si="50"/>
        <v>1.7782088587132261E-2</v>
      </c>
    </row>
    <row r="1045" spans="2:11" x14ac:dyDescent="0.25">
      <c r="B1045" s="263">
        <v>45930</v>
      </c>
      <c r="C1045" s="162">
        <v>6688.46</v>
      </c>
      <c r="D1045" s="94">
        <f t="shared" si="48"/>
        <v>4.0908483593822265E-3</v>
      </c>
      <c r="F1045" s="161">
        <v>1917.97</v>
      </c>
      <c r="G1045" s="94">
        <f t="shared" si="49"/>
        <v>-5.5478645906246182E-3</v>
      </c>
      <c r="J1045" s="264">
        <v>251.68</v>
      </c>
      <c r="K1045" s="94">
        <f t="shared" si="50"/>
        <v>-6.3532401524779569E-4</v>
      </c>
    </row>
    <row r="1046" spans="2:11" x14ac:dyDescent="0.25">
      <c r="B1046" s="263">
        <v>45931</v>
      </c>
      <c r="C1046" s="162">
        <v>6711.2</v>
      </c>
      <c r="D1046" s="94">
        <f t="shared" si="48"/>
        <v>3.3998857734067744E-3</v>
      </c>
      <c r="F1046" s="161">
        <v>1931.16</v>
      </c>
      <c r="G1046" s="94">
        <f t="shared" si="49"/>
        <v>6.8770627277798813E-3</v>
      </c>
      <c r="J1046" s="264">
        <v>262.56</v>
      </c>
      <c r="K1046" s="94">
        <f t="shared" si="50"/>
        <v>4.322949777495233E-2</v>
      </c>
    </row>
    <row r="1047" spans="2:11" x14ac:dyDescent="0.25">
      <c r="B1047" s="263">
        <v>45932</v>
      </c>
      <c r="C1047" s="162">
        <v>6715.35</v>
      </c>
      <c r="D1047" s="94">
        <f t="shared" si="48"/>
        <v>6.1836929312208966E-4</v>
      </c>
      <c r="F1047" s="161">
        <v>1917.89</v>
      </c>
      <c r="G1047" s="94">
        <f t="shared" si="49"/>
        <v>-6.8715176370678366E-3</v>
      </c>
      <c r="J1047" s="264">
        <v>265.25</v>
      </c>
      <c r="K1047" s="94">
        <f t="shared" si="50"/>
        <v>1.0245277269957276E-2</v>
      </c>
    </row>
    <row r="1048" spans="2:11" x14ac:dyDescent="0.25">
      <c r="B1048" s="263">
        <v>45933</v>
      </c>
      <c r="C1048" s="162">
        <v>6715.79</v>
      </c>
      <c r="D1048" s="94">
        <f t="shared" si="48"/>
        <v>6.552152903416264E-5</v>
      </c>
      <c r="F1048" s="161">
        <v>1902.44</v>
      </c>
      <c r="G1048" s="94">
        <f t="shared" si="49"/>
        <v>-8.0557279093170786E-3</v>
      </c>
      <c r="J1048" s="264">
        <v>251.98</v>
      </c>
      <c r="K1048" s="94">
        <f t="shared" si="50"/>
        <v>-5.0028275212064099E-2</v>
      </c>
    </row>
    <row r="1049" spans="2:11" x14ac:dyDescent="0.25">
      <c r="B1049" s="263">
        <v>45936</v>
      </c>
      <c r="C1049" s="162">
        <v>6740.28</v>
      </c>
      <c r="D1049" s="94">
        <f t="shared" si="48"/>
        <v>3.6466298082578064E-3</v>
      </c>
      <c r="F1049" s="161">
        <v>1922.32</v>
      </c>
      <c r="G1049" s="94">
        <f t="shared" si="49"/>
        <v>1.0449738230903449E-2</v>
      </c>
      <c r="J1049" s="264">
        <v>244.02</v>
      </c>
      <c r="K1049" s="94">
        <f t="shared" si="50"/>
        <v>-3.1589808714977297E-2</v>
      </c>
    </row>
    <row r="1050" spans="2:11" x14ac:dyDescent="0.25">
      <c r="B1050" s="263">
        <v>45937</v>
      </c>
      <c r="C1050" s="162">
        <v>6714.59</v>
      </c>
      <c r="D1050" s="94">
        <f t="shared" si="48"/>
        <v>-3.8114143626080121E-3</v>
      </c>
      <c r="F1050" s="161">
        <v>1894.87</v>
      </c>
      <c r="G1050" s="94">
        <f t="shared" si="49"/>
        <v>-1.427962045861253E-2</v>
      </c>
      <c r="J1050" s="264">
        <v>244.61</v>
      </c>
      <c r="K1050" s="94">
        <f t="shared" si="50"/>
        <v>2.4178346037209142E-3</v>
      </c>
    </row>
    <row r="1051" spans="2:11" x14ac:dyDescent="0.25">
      <c r="B1051" s="263">
        <v>45938</v>
      </c>
      <c r="C1051" s="162">
        <v>6753.72</v>
      </c>
      <c r="D1051" s="94">
        <f t="shared" si="48"/>
        <v>5.8276082381798489E-3</v>
      </c>
      <c r="F1051" s="161">
        <v>1905.57</v>
      </c>
      <c r="G1051" s="94">
        <f t="shared" si="49"/>
        <v>5.6468253758832354E-3</v>
      </c>
      <c r="J1051" s="264">
        <v>249.01</v>
      </c>
      <c r="K1051" s="94">
        <f t="shared" si="50"/>
        <v>1.7987817341891033E-2</v>
      </c>
    </row>
    <row r="1052" spans="2:11" x14ac:dyDescent="0.25">
      <c r="B1052" s="263">
        <v>45939</v>
      </c>
      <c r="C1052" s="162">
        <v>6735.11</v>
      </c>
      <c r="D1052" s="94">
        <f t="shared" si="48"/>
        <v>-2.755518440207827E-3</v>
      </c>
      <c r="F1052" s="161">
        <v>1901.76</v>
      </c>
      <c r="G1052" s="94">
        <f t="shared" si="49"/>
        <v>-1.9994017538059738E-3</v>
      </c>
      <c r="J1052" s="264">
        <v>249.75</v>
      </c>
      <c r="K1052" s="94">
        <f t="shared" si="50"/>
        <v>2.9717682020802272E-3</v>
      </c>
    </row>
    <row r="1053" spans="2:11" x14ac:dyDescent="0.25">
      <c r="B1053" s="263">
        <v>45940</v>
      </c>
      <c r="C1053" s="162">
        <v>6552.51</v>
      </c>
      <c r="D1053" s="94">
        <f t="shared" si="48"/>
        <v>-2.7111658161485086E-2</v>
      </c>
      <c r="F1053" s="161">
        <v>1839.12</v>
      </c>
      <c r="G1053" s="94">
        <f t="shared" si="49"/>
        <v>-3.2937910146390803E-2</v>
      </c>
      <c r="J1053" s="264">
        <v>241.25</v>
      </c>
      <c r="K1053" s="94">
        <f t="shared" si="50"/>
        <v>-3.4034034034034044E-2</v>
      </c>
    </row>
    <row r="1054" spans="2:11" x14ac:dyDescent="0.25">
      <c r="B1054" s="263">
        <v>45943</v>
      </c>
      <c r="C1054" s="162">
        <v>6654.72</v>
      </c>
      <c r="D1054" s="94">
        <f t="shared" si="48"/>
        <v>1.5598602672868944E-2</v>
      </c>
      <c r="F1054" s="161">
        <v>1881.24</v>
      </c>
      <c r="G1054" s="94">
        <f t="shared" si="49"/>
        <v>2.2902257601461695E-2</v>
      </c>
      <c r="J1054" s="264">
        <v>254.9</v>
      </c>
      <c r="K1054" s="94">
        <f t="shared" si="50"/>
        <v>5.6580310880828932E-2</v>
      </c>
    </row>
    <row r="1055" spans="2:11" x14ac:dyDescent="0.25">
      <c r="B1055" s="263">
        <v>45944</v>
      </c>
      <c r="C1055" s="162">
        <v>6644.31</v>
      </c>
      <c r="D1055" s="94">
        <f t="shared" si="48"/>
        <v>-1.5643032313906735E-3</v>
      </c>
      <c r="F1055" s="161">
        <v>1876.4</v>
      </c>
      <c r="G1055" s="94">
        <f t="shared" si="49"/>
        <v>-2.5727711509428985E-3</v>
      </c>
      <c r="J1055" s="264">
        <v>254.99</v>
      </c>
      <c r="K1055" s="94">
        <f t="shared" si="50"/>
        <v>3.5307963907404982E-4</v>
      </c>
    </row>
    <row r="1056" spans="2:11" x14ac:dyDescent="0.25">
      <c r="B1056" s="263">
        <v>45945</v>
      </c>
      <c r="C1056" s="162">
        <v>6671.06</v>
      </c>
      <c r="D1056" s="94">
        <f t="shared" si="48"/>
        <v>4.0260011950075114E-3</v>
      </c>
      <c r="F1056" s="161">
        <v>1878.33</v>
      </c>
      <c r="G1056" s="94">
        <f t="shared" si="49"/>
        <v>1.0285653378809823E-3</v>
      </c>
      <c r="J1056" s="264">
        <v>250.3</v>
      </c>
      <c r="K1056" s="94">
        <f t="shared" si="50"/>
        <v>-1.8392878152084347E-2</v>
      </c>
    </row>
    <row r="1057" spans="2:11" x14ac:dyDescent="0.25">
      <c r="B1057" s="263">
        <v>45946</v>
      </c>
      <c r="C1057" s="162">
        <v>6629.07</v>
      </c>
      <c r="D1057" s="94">
        <f t="shared" si="48"/>
        <v>-6.2943520220175575E-3</v>
      </c>
      <c r="F1057" s="161">
        <v>1861.89</v>
      </c>
      <c r="G1057" s="94">
        <f t="shared" si="49"/>
        <v>-8.7524556387854613E-3</v>
      </c>
      <c r="J1057" s="264">
        <v>246.27</v>
      </c>
      <c r="K1057" s="94">
        <f t="shared" si="50"/>
        <v>-1.610067918497804E-2</v>
      </c>
    </row>
    <row r="1058" spans="2:11" x14ac:dyDescent="0.25">
      <c r="B1058" s="263">
        <v>45947</v>
      </c>
      <c r="C1058" s="162">
        <v>6664.01</v>
      </c>
      <c r="D1058" s="94">
        <f t="shared" si="48"/>
        <v>5.270724249404557E-3</v>
      </c>
      <c r="F1058" s="161">
        <v>1873.86</v>
      </c>
      <c r="G1058" s="94">
        <f t="shared" si="49"/>
        <v>6.4289512269788407E-3</v>
      </c>
      <c r="J1058" s="264">
        <v>257.04000000000002</v>
      </c>
      <c r="K1058" s="94">
        <f t="shared" si="50"/>
        <v>4.3732488731879737E-2</v>
      </c>
    </row>
    <row r="1059" spans="2:11" x14ac:dyDescent="0.25">
      <c r="B1059" s="263">
        <v>45950</v>
      </c>
      <c r="C1059" s="162">
        <v>6735.13</v>
      </c>
      <c r="D1059" s="94">
        <f t="shared" si="48"/>
        <v>1.0672252892777845E-2</v>
      </c>
      <c r="F1059" s="161">
        <v>1892.68</v>
      </c>
      <c r="G1059" s="94">
        <f t="shared" si="49"/>
        <v>1.0043439744698235E-2</v>
      </c>
      <c r="J1059" s="264">
        <v>255.54</v>
      </c>
      <c r="K1059" s="94">
        <f t="shared" si="50"/>
        <v>-5.835667600373573E-3</v>
      </c>
    </row>
    <row r="1060" spans="2:11" x14ac:dyDescent="0.25">
      <c r="B1060" s="263">
        <v>45951</v>
      </c>
      <c r="C1060" s="162">
        <v>6735.35</v>
      </c>
      <c r="D1060" s="94">
        <f t="shared" si="48"/>
        <v>3.2664551389505192E-5</v>
      </c>
      <c r="F1060" s="161">
        <v>1917.6</v>
      </c>
      <c r="G1060" s="94">
        <f t="shared" si="49"/>
        <v>1.3166515205951246E-2</v>
      </c>
      <c r="J1060" s="264">
        <v>266.89</v>
      </c>
      <c r="K1060" s="94">
        <f t="shared" si="50"/>
        <v>4.4415747045472243E-2</v>
      </c>
    </row>
    <row r="1061" spans="2:11" x14ac:dyDescent="0.25">
      <c r="B1061" s="263">
        <v>45952</v>
      </c>
      <c r="C1061" s="162">
        <v>6699.4</v>
      </c>
      <c r="D1061" s="94">
        <f t="shared" si="48"/>
        <v>-5.3375103001329638E-3</v>
      </c>
      <c r="F1061" s="161">
        <v>1898.39</v>
      </c>
      <c r="G1061" s="94">
        <f t="shared" si="49"/>
        <v>-1.0017730496453825E-2</v>
      </c>
      <c r="J1061" s="264">
        <v>262.89</v>
      </c>
      <c r="K1061" s="94">
        <f t="shared" si="50"/>
        <v>-1.4987448012289684E-2</v>
      </c>
    </row>
    <row r="1062" spans="2:11" x14ac:dyDescent="0.25">
      <c r="B1062" s="263">
        <v>45953</v>
      </c>
      <c r="C1062" s="162">
        <v>6738.44</v>
      </c>
      <c r="D1062" s="94">
        <f t="shared" si="48"/>
        <v>5.8273875272412123E-3</v>
      </c>
      <c r="F1062" s="161">
        <v>1912.45</v>
      </c>
      <c r="G1062" s="94">
        <f t="shared" si="49"/>
        <v>7.4062758442681176E-3</v>
      </c>
      <c r="J1062" s="264">
        <v>259.14</v>
      </c>
      <c r="K1062" s="94">
        <f t="shared" si="50"/>
        <v>-1.4264521282665754E-2</v>
      </c>
    </row>
    <row r="1063" spans="2:11" x14ac:dyDescent="0.25">
      <c r="B1063" s="263">
        <v>45954</v>
      </c>
      <c r="C1063" s="162">
        <v>6791.69</v>
      </c>
      <c r="D1063" s="94">
        <f t="shared" si="48"/>
        <v>7.9024225191588471E-3</v>
      </c>
      <c r="F1063" s="161">
        <v>1910.16</v>
      </c>
      <c r="G1063" s="94">
        <f t="shared" si="49"/>
        <v>-1.1974169259326706E-3</v>
      </c>
      <c r="J1063" s="264">
        <v>258.99</v>
      </c>
      <c r="K1063" s="94">
        <f t="shared" si="50"/>
        <v>-5.7883769391053885E-4</v>
      </c>
    </row>
    <row r="1064" spans="2:11" x14ac:dyDescent="0.25">
      <c r="B1064" s="263">
        <v>45957</v>
      </c>
      <c r="C1064" s="162">
        <v>6875.16</v>
      </c>
      <c r="D1064" s="94">
        <f t="shared" si="48"/>
        <v>1.2290019126314666E-2</v>
      </c>
      <c r="F1064" s="161">
        <v>1939.35</v>
      </c>
      <c r="G1064" s="94">
        <f t="shared" si="49"/>
        <v>1.5281442392260258E-2</v>
      </c>
      <c r="J1064" s="264">
        <v>254.97</v>
      </c>
      <c r="K1064" s="94">
        <f t="shared" si="50"/>
        <v>-1.5521834819877234E-2</v>
      </c>
    </row>
    <row r="1065" spans="2:11" x14ac:dyDescent="0.25">
      <c r="B1065" s="263">
        <v>45958</v>
      </c>
      <c r="C1065" s="162">
        <v>6890.89</v>
      </c>
      <c r="D1065" s="94">
        <f t="shared" si="48"/>
        <v>2.2879467532392894E-3</v>
      </c>
      <c r="F1065" s="161">
        <v>1945.29</v>
      </c>
      <c r="G1065" s="94">
        <f t="shared" si="49"/>
        <v>3.062881893417968E-3</v>
      </c>
      <c r="J1065" s="264">
        <v>247.35499999999999</v>
      </c>
      <c r="K1065" s="94">
        <f t="shared" si="50"/>
        <v>-2.9866258775542276E-2</v>
      </c>
    </row>
    <row r="1066" spans="2:11" x14ac:dyDescent="0.25">
      <c r="B1066" s="263">
        <v>45959</v>
      </c>
      <c r="C1066" s="162">
        <v>6890.59</v>
      </c>
      <c r="D1066" s="94">
        <f t="shared" si="48"/>
        <v>-4.3535740666289513E-5</v>
      </c>
      <c r="F1066" s="161">
        <v>1935.59</v>
      </c>
      <c r="G1066" s="94">
        <f t="shared" si="49"/>
        <v>-4.9864030555856198E-3</v>
      </c>
      <c r="J1066" s="264">
        <v>242.57499999999999</v>
      </c>
      <c r="K1066" s="94">
        <f t="shared" si="50"/>
        <v>-1.9324452709668316E-2</v>
      </c>
    </row>
    <row r="1067" spans="2:11" x14ac:dyDescent="0.25">
      <c r="B1067" s="263">
        <v>45960</v>
      </c>
      <c r="C1067" s="162">
        <v>6822.34</v>
      </c>
      <c r="D1067" s="94">
        <f t="shared" si="48"/>
        <v>-9.9048122149192341E-3</v>
      </c>
      <c r="F1067" s="161">
        <v>1886.13</v>
      </c>
      <c r="G1067" s="94">
        <f t="shared" si="49"/>
        <v>-2.5552932180885279E-2</v>
      </c>
      <c r="J1067" s="264">
        <v>215.63</v>
      </c>
      <c r="K1067" s="94">
        <f t="shared" si="50"/>
        <v>-0.1110790477172009</v>
      </c>
    </row>
    <row r="1068" spans="2:11" x14ac:dyDescent="0.25">
      <c r="B1068" s="263">
        <v>45961</v>
      </c>
      <c r="C1068" s="162">
        <v>6840.2</v>
      </c>
      <c r="D1068" s="94">
        <f t="shared" si="48"/>
        <v>2.6178701149457417E-3</v>
      </c>
      <c r="F1068" s="161">
        <v>1963.14</v>
      </c>
      <c r="G1068" s="94">
        <f t="shared" si="49"/>
        <v>4.0829635284948429E-2</v>
      </c>
      <c r="J1068" s="264">
        <v>216.63</v>
      </c>
      <c r="K1068" s="94">
        <f t="shared" si="50"/>
        <v>4.6375736214812058E-3</v>
      </c>
    </row>
    <row r="1069" spans="2:11" x14ac:dyDescent="0.25">
      <c r="B1069" s="263">
        <v>45964</v>
      </c>
      <c r="C1069" s="162">
        <v>6851.97</v>
      </c>
      <c r="D1069" s="94">
        <f t="shared" si="48"/>
        <v>1.7207099207625642E-3</v>
      </c>
      <c r="F1069" s="161">
        <v>1996.58</v>
      </c>
      <c r="G1069" s="94">
        <f t="shared" si="49"/>
        <v>1.7033935429974445E-2</v>
      </c>
      <c r="J1069" s="264">
        <v>214.07</v>
      </c>
      <c r="K1069" s="94">
        <f t="shared" si="50"/>
        <v>-1.1817384480450555E-2</v>
      </c>
    </row>
    <row r="1070" spans="2:11" x14ac:dyDescent="0.25">
      <c r="B1070" s="263">
        <v>45965</v>
      </c>
      <c r="C1070" s="162">
        <v>6771.55</v>
      </c>
      <c r="D1070" s="94">
        <f t="shared" si="48"/>
        <v>-1.1736770592982726E-2</v>
      </c>
      <c r="F1070" s="161">
        <v>1959.55</v>
      </c>
      <c r="G1070" s="94">
        <f t="shared" si="49"/>
        <v>-1.8546714882448967E-2</v>
      </c>
      <c r="J1070" s="264">
        <v>237.32</v>
      </c>
      <c r="K1070" s="94">
        <f t="shared" si="50"/>
        <v>0.10860933339561818</v>
      </c>
    </row>
    <row r="1071" spans="2:11" x14ac:dyDescent="0.25">
      <c r="B1071" s="263">
        <v>45966</v>
      </c>
      <c r="C1071" s="162">
        <v>6796.29</v>
      </c>
      <c r="D1071" s="94">
        <f t="shared" si="48"/>
        <v>3.6535209811638936E-3</v>
      </c>
      <c r="F1071" s="161">
        <v>1981.47</v>
      </c>
      <c r="G1071" s="94">
        <f t="shared" si="49"/>
        <v>1.1186241739174818E-2</v>
      </c>
      <c r="J1071" s="264">
        <v>252.84</v>
      </c>
      <c r="K1071" s="94">
        <f t="shared" si="50"/>
        <v>6.5396932411933228E-2</v>
      </c>
    </row>
    <row r="1072" spans="2:11" x14ac:dyDescent="0.25">
      <c r="B1072" s="263">
        <v>45967</v>
      </c>
      <c r="C1072" s="162">
        <v>6720.32</v>
      </c>
      <c r="D1072" s="94">
        <f t="shared" si="48"/>
        <v>-1.1178157494750818E-2</v>
      </c>
      <c r="F1072" s="161">
        <v>1931.97</v>
      </c>
      <c r="G1072" s="94">
        <f t="shared" si="49"/>
        <v>-2.4981453163560374E-2</v>
      </c>
      <c r="J1072" s="264">
        <v>244.6</v>
      </c>
      <c r="K1072" s="94">
        <f t="shared" si="50"/>
        <v>-3.2589780098085774E-2</v>
      </c>
    </row>
    <row r="1073" spans="2:11" x14ac:dyDescent="0.25">
      <c r="B1073" s="263">
        <v>45968</v>
      </c>
      <c r="C1073" s="162">
        <v>6728.8</v>
      </c>
      <c r="D1073" s="94">
        <f t="shared" si="48"/>
        <v>1.2618446740633171E-3</v>
      </c>
      <c r="F1073" s="161">
        <v>1932.73</v>
      </c>
      <c r="G1073" s="94">
        <f t="shared" si="49"/>
        <v>3.933808495990565E-4</v>
      </c>
      <c r="J1073" s="264">
        <v>238.18</v>
      </c>
      <c r="K1073" s="94">
        <f t="shared" si="50"/>
        <v>-2.6246933769419445E-2</v>
      </c>
    </row>
    <row r="1074" spans="2:11" x14ac:dyDescent="0.25">
      <c r="B1074" s="263">
        <v>45971</v>
      </c>
      <c r="C1074" s="162">
        <v>6832.43</v>
      </c>
      <c r="D1074" s="94">
        <f t="shared" si="48"/>
        <v>1.5400963024610581E-2</v>
      </c>
      <c r="F1074" s="161">
        <v>1961.46</v>
      </c>
      <c r="G1074" s="94">
        <f t="shared" si="49"/>
        <v>1.4864983727680636E-2</v>
      </c>
      <c r="J1074" s="264">
        <v>238</v>
      </c>
      <c r="K1074" s="94">
        <f t="shared" si="50"/>
        <v>-7.5573095977832239E-4</v>
      </c>
    </row>
    <row r="1075" spans="2:11" x14ac:dyDescent="0.25">
      <c r="B1075" s="263">
        <v>45972</v>
      </c>
      <c r="C1075" s="162">
        <v>6846.61</v>
      </c>
      <c r="D1075" s="94">
        <f t="shared" si="48"/>
        <v>2.0753963084874094E-3</v>
      </c>
      <c r="F1075" s="161">
        <v>1965.14</v>
      </c>
      <c r="G1075" s="94">
        <f t="shared" si="49"/>
        <v>1.8761534775115773E-3</v>
      </c>
      <c r="J1075" s="264">
        <v>239.11</v>
      </c>
      <c r="K1075" s="94">
        <f t="shared" si="50"/>
        <v>4.6638655462185596E-3</v>
      </c>
    </row>
    <row r="1076" spans="2:11" x14ac:dyDescent="0.25">
      <c r="B1076" s="263">
        <v>45973</v>
      </c>
      <c r="C1076" s="162">
        <v>6850.92</v>
      </c>
      <c r="D1076" s="94">
        <f t="shared" si="48"/>
        <v>6.2950861813360071E-4</v>
      </c>
      <c r="F1076" s="161">
        <v>1944.45</v>
      </c>
      <c r="G1076" s="94">
        <f t="shared" si="49"/>
        <v>-1.0528511963524223E-2</v>
      </c>
      <c r="J1076" s="264">
        <v>241.26</v>
      </c>
      <c r="K1076" s="94">
        <f t="shared" si="50"/>
        <v>8.9916774706200187E-3</v>
      </c>
    </row>
    <row r="1077" spans="2:11" x14ac:dyDescent="0.25">
      <c r="B1077" s="263">
        <v>45974</v>
      </c>
      <c r="C1077" s="162">
        <v>6737.49</v>
      </c>
      <c r="D1077" s="94">
        <f t="shared" si="48"/>
        <v>-1.6556900387101336E-2</v>
      </c>
      <c r="F1077" s="161">
        <v>1891.34</v>
      </c>
      <c r="G1077" s="94">
        <f t="shared" si="49"/>
        <v>-2.7313636246753648E-2</v>
      </c>
      <c r="J1077" s="264">
        <v>235</v>
      </c>
      <c r="K1077" s="94">
        <f t="shared" si="50"/>
        <v>-2.5947111000580225E-2</v>
      </c>
    </row>
    <row r="1078" spans="2:11" x14ac:dyDescent="0.25">
      <c r="B1078" s="263">
        <v>45975</v>
      </c>
      <c r="C1078" s="162">
        <v>6734.11</v>
      </c>
      <c r="D1078" s="94">
        <f t="shared" si="48"/>
        <v>-5.016705034071034E-4</v>
      </c>
      <c r="F1078" s="161">
        <v>1879.78</v>
      </c>
      <c r="G1078" s="94">
        <f t="shared" si="49"/>
        <v>-6.1120686920383971E-3</v>
      </c>
      <c r="J1078" s="264">
        <v>232.89</v>
      </c>
      <c r="K1078" s="94">
        <f t="shared" si="50"/>
        <v>-8.9787234042554287E-3</v>
      </c>
    </row>
    <row r="1079" spans="2:11" x14ac:dyDescent="0.25">
      <c r="B1079" s="263">
        <v>45978</v>
      </c>
      <c r="C1079" s="162">
        <v>6672.41</v>
      </c>
      <c r="D1079" s="94">
        <f t="shared" si="48"/>
        <v>-9.1623094959838447E-3</v>
      </c>
      <c r="F1079" s="161">
        <v>1864.7</v>
      </c>
      <c r="G1079" s="94">
        <f t="shared" si="49"/>
        <v>-8.0222153656278605E-3</v>
      </c>
      <c r="J1079" s="264">
        <v>227.29</v>
      </c>
      <c r="K1079" s="94">
        <f t="shared" si="50"/>
        <v>-2.4045686804929356E-2</v>
      </c>
    </row>
    <row r="1080" spans="2:11" x14ac:dyDescent="0.25">
      <c r="B1080" s="263">
        <v>45979</v>
      </c>
      <c r="C1080" s="162">
        <v>6617.32</v>
      </c>
      <c r="D1080" s="94">
        <f t="shared" si="48"/>
        <v>-8.2563871224939911E-3</v>
      </c>
      <c r="F1080" s="161">
        <v>1818.14</v>
      </c>
      <c r="G1080" s="94">
        <f t="shared" si="49"/>
        <v>-2.4969163940580241E-2</v>
      </c>
      <c r="J1080" s="264">
        <v>231.1</v>
      </c>
      <c r="K1080" s="94">
        <f t="shared" si="50"/>
        <v>1.6762726032821584E-2</v>
      </c>
    </row>
    <row r="1081" spans="2:11" x14ac:dyDescent="0.25">
      <c r="B1081" s="263">
        <v>45980</v>
      </c>
      <c r="C1081" s="162">
        <v>6642.16</v>
      </c>
      <c r="D1081" s="94">
        <f t="shared" si="48"/>
        <v>3.7537855204221593E-3</v>
      </c>
      <c r="F1081" s="161">
        <v>1819</v>
      </c>
      <c r="G1081" s="94">
        <f t="shared" si="49"/>
        <v>4.7301087925011309E-4</v>
      </c>
      <c r="J1081" s="264">
        <v>231.82</v>
      </c>
      <c r="K1081" s="94">
        <f t="shared" si="50"/>
        <v>3.1155344006923436E-3</v>
      </c>
    </row>
    <row r="1082" spans="2:11" x14ac:dyDescent="0.25">
      <c r="B1082" s="263">
        <v>45981</v>
      </c>
      <c r="C1082" s="162">
        <v>6538.76</v>
      </c>
      <c r="D1082" s="94">
        <f t="shared" si="48"/>
        <v>-1.5567225119539341E-2</v>
      </c>
      <c r="F1082" s="161">
        <v>1787.54</v>
      </c>
      <c r="G1082" s="94">
        <f t="shared" si="49"/>
        <v>-1.7295217152281439E-2</v>
      </c>
      <c r="J1082" s="264">
        <v>228.49</v>
      </c>
      <c r="K1082" s="94">
        <f t="shared" si="50"/>
        <v>-1.436459321887662E-2</v>
      </c>
    </row>
    <row r="1083" spans="2:11" x14ac:dyDescent="0.25">
      <c r="B1083" s="263">
        <v>45982</v>
      </c>
      <c r="C1083" s="162">
        <v>6602.99</v>
      </c>
      <c r="D1083" s="94">
        <f t="shared" si="48"/>
        <v>9.8229633753188494E-3</v>
      </c>
      <c r="F1083" s="161">
        <v>1818.61</v>
      </c>
      <c r="G1083" s="94">
        <f t="shared" si="49"/>
        <v>1.7381429226758449E-2</v>
      </c>
      <c r="J1083" s="264">
        <v>246.01</v>
      </c>
      <c r="K1083" s="94">
        <f t="shared" si="50"/>
        <v>7.6677316293929598E-2</v>
      </c>
    </row>
    <row r="1084" spans="2:11" x14ac:dyDescent="0.25">
      <c r="B1084" s="263">
        <v>45985</v>
      </c>
      <c r="C1084" s="162">
        <v>6705.12</v>
      </c>
      <c r="D1084" s="94">
        <f t="shared" si="48"/>
        <v>1.5467235297948356E-2</v>
      </c>
      <c r="F1084" s="161">
        <v>1852.46</v>
      </c>
      <c r="G1084" s="94">
        <f t="shared" si="49"/>
        <v>1.861311661103815E-2</v>
      </c>
      <c r="J1084" s="264">
        <v>242.73</v>
      </c>
      <c r="K1084" s="94">
        <f t="shared" si="50"/>
        <v>-1.3332791349945139E-2</v>
      </c>
    </row>
    <row r="1085" spans="2:11" x14ac:dyDescent="0.25">
      <c r="B1085" s="263">
        <v>45986</v>
      </c>
      <c r="C1085" s="162">
        <v>6765.88</v>
      </c>
      <c r="D1085" s="94">
        <f t="shared" si="48"/>
        <v>9.0617319302264132E-3</v>
      </c>
      <c r="F1085" s="161">
        <v>1888.03</v>
      </c>
      <c r="G1085" s="94">
        <f t="shared" si="49"/>
        <v>1.9201494229295069E-2</v>
      </c>
      <c r="J1085" s="264">
        <v>262.97000000000003</v>
      </c>
      <c r="K1085" s="94">
        <f t="shared" si="50"/>
        <v>8.3384830882050176E-2</v>
      </c>
    </row>
    <row r="1086" spans="2:11" x14ac:dyDescent="0.25">
      <c r="B1086" s="263">
        <v>45987</v>
      </c>
      <c r="C1086" s="162">
        <v>6812.61</v>
      </c>
      <c r="D1086" s="94">
        <f t="shared" si="48"/>
        <v>6.9067142781129576E-3</v>
      </c>
      <c r="F1086" s="161">
        <v>1898.19</v>
      </c>
      <c r="G1086" s="94">
        <f t="shared" si="49"/>
        <v>5.3812704247284682E-3</v>
      </c>
      <c r="J1086" s="264">
        <v>259.08</v>
      </c>
      <c r="K1086" s="94">
        <f t="shared" si="50"/>
        <v>-1.4792561889189093E-2</v>
      </c>
    </row>
    <row r="1087" spans="2:11" x14ac:dyDescent="0.25">
      <c r="B1087" s="263">
        <v>45989</v>
      </c>
      <c r="C1087" s="162">
        <v>6849.09</v>
      </c>
      <c r="D1087" s="94">
        <f t="shared" si="48"/>
        <v>5.3547759228842473E-3</v>
      </c>
      <c r="F1087" s="161">
        <v>1915.26</v>
      </c>
      <c r="G1087" s="94">
        <f t="shared" si="49"/>
        <v>8.9927773299827152E-3</v>
      </c>
      <c r="J1087" s="264">
        <v>264.73</v>
      </c>
      <c r="K1087" s="94">
        <f t="shared" si="50"/>
        <v>2.1807935772734321E-2</v>
      </c>
    </row>
    <row r="1088" spans="2:11" x14ac:dyDescent="0.25">
      <c r="B1088" s="263">
        <v>45992</v>
      </c>
      <c r="C1088" s="162">
        <v>6812.63</v>
      </c>
      <c r="D1088" s="94">
        <f t="shared" si="48"/>
        <v>-5.3233349247856498E-3</v>
      </c>
      <c r="F1088" s="161">
        <v>1915.62</v>
      </c>
      <c r="G1088" s="94">
        <f t="shared" si="49"/>
        <v>1.8796403621434976E-4</v>
      </c>
      <c r="J1088" s="264">
        <v>269.23</v>
      </c>
      <c r="K1088" s="94">
        <f t="shared" si="50"/>
        <v>1.6998451252219215E-2</v>
      </c>
    </row>
    <row r="1089" spans="2:11" x14ac:dyDescent="0.25">
      <c r="B1089" s="263">
        <v>45993</v>
      </c>
      <c r="C1089" s="162">
        <v>6829.37</v>
      </c>
      <c r="D1089" s="94">
        <f t="shared" si="48"/>
        <v>2.4572008167182968E-3</v>
      </c>
      <c r="F1089" s="161">
        <v>1915.45</v>
      </c>
      <c r="G1089" s="94">
        <f t="shared" si="49"/>
        <v>-8.8744114177030653E-5</v>
      </c>
      <c r="J1089" s="264">
        <v>274.91000000000003</v>
      </c>
      <c r="K1089" s="94">
        <f t="shared" si="50"/>
        <v>2.1097203134866183E-2</v>
      </c>
    </row>
    <row r="1090" spans="2:11" x14ac:dyDescent="0.25">
      <c r="B1090" s="263">
        <v>45994</v>
      </c>
      <c r="C1090" s="162">
        <v>6849.72</v>
      </c>
      <c r="D1090" s="94">
        <f t="shared" si="48"/>
        <v>2.9797770511774679E-3</v>
      </c>
      <c r="F1090" s="161">
        <v>1931.29</v>
      </c>
      <c r="G1090" s="94">
        <f t="shared" si="49"/>
        <v>8.2695972225848013E-3</v>
      </c>
      <c r="J1090" s="264">
        <v>268.64</v>
      </c>
      <c r="K1090" s="94">
        <f t="shared" si="50"/>
        <v>-2.2807464261030974E-2</v>
      </c>
    </row>
    <row r="1091" spans="2:11" x14ac:dyDescent="0.25">
      <c r="B1091" s="263">
        <v>45995</v>
      </c>
      <c r="C1091" s="162">
        <v>6857.12</v>
      </c>
      <c r="D1091" s="94">
        <f t="shared" si="48"/>
        <v>1.0803361305278258E-3</v>
      </c>
      <c r="F1091" s="161">
        <v>1922.03</v>
      </c>
      <c r="G1091" s="94">
        <f t="shared" si="49"/>
        <v>-4.7947226983000579E-3</v>
      </c>
      <c r="J1091" s="264">
        <v>262.89</v>
      </c>
      <c r="K1091" s="94">
        <f t="shared" si="50"/>
        <v>-2.1404109589041043E-2</v>
      </c>
    </row>
    <row r="1092" spans="2:11" x14ac:dyDescent="0.25">
      <c r="B1092" s="263">
        <v>45996</v>
      </c>
      <c r="C1092" s="162">
        <v>6870.4</v>
      </c>
      <c r="D1092" s="94">
        <f t="shared" si="48"/>
        <v>1.9366731222436595E-3</v>
      </c>
      <c r="F1092" s="161">
        <v>1930.51</v>
      </c>
      <c r="G1092" s="94">
        <f t="shared" si="49"/>
        <v>4.4120018938309524E-3</v>
      </c>
      <c r="J1092" s="264">
        <v>257.56</v>
      </c>
      <c r="K1092" s="94">
        <f t="shared" si="50"/>
        <v>-2.02746395830955E-2</v>
      </c>
    </row>
    <row r="1093" spans="2:11" x14ac:dyDescent="0.25">
      <c r="B1093" s="263">
        <v>45999</v>
      </c>
      <c r="C1093" s="162">
        <v>6846.51</v>
      </c>
      <c r="D1093" s="94">
        <f t="shared" si="48"/>
        <v>-3.4772356776897606E-3</v>
      </c>
      <c r="F1093" s="161">
        <v>1901.04</v>
      </c>
      <c r="G1093" s="94">
        <f t="shared" si="49"/>
        <v>-1.5265396190643932E-2</v>
      </c>
      <c r="J1093" s="264">
        <v>245.95</v>
      </c>
      <c r="K1093" s="94">
        <f t="shared" si="50"/>
        <v>-4.5076875291194307E-2</v>
      </c>
    </row>
    <row r="1094" spans="2:11" x14ac:dyDescent="0.25">
      <c r="B1094" s="263">
        <v>46000</v>
      </c>
      <c r="C1094" s="162">
        <v>6840.51</v>
      </c>
      <c r="D1094" s="94">
        <f t="shared" si="48"/>
        <v>-8.7635890402559813E-4</v>
      </c>
      <c r="F1094" s="161">
        <v>1904.03</v>
      </c>
      <c r="G1094" s="94">
        <f t="shared" si="49"/>
        <v>1.5728232967218148E-3</v>
      </c>
      <c r="J1094" s="264">
        <v>247.49</v>
      </c>
      <c r="K1094" s="94">
        <f t="shared" si="50"/>
        <v>6.261435251067482E-3</v>
      </c>
    </row>
    <row r="1095" spans="2:11" x14ac:dyDescent="0.25">
      <c r="B1095" s="263">
        <v>46001</v>
      </c>
      <c r="C1095" s="162">
        <v>6886.68</v>
      </c>
      <c r="D1095" s="94">
        <f t="shared" si="48"/>
        <v>6.7494967480494772E-3</v>
      </c>
      <c r="F1095" s="161">
        <v>1933</v>
      </c>
      <c r="G1095" s="94">
        <f t="shared" si="49"/>
        <v>1.5215096400791994E-2</v>
      </c>
      <c r="J1095" s="264">
        <v>247.3</v>
      </c>
      <c r="K1095" s="94">
        <f t="shared" si="50"/>
        <v>-7.6770778617318847E-4</v>
      </c>
    </row>
    <row r="1096" spans="2:11" x14ac:dyDescent="0.25">
      <c r="B1096" s="263">
        <v>46002</v>
      </c>
      <c r="C1096" s="162">
        <v>6901</v>
      </c>
      <c r="D1096" s="94">
        <f t="shared" si="48"/>
        <v>2.0793764194066977E-3</v>
      </c>
      <c r="F1096" s="161">
        <v>1934.62</v>
      </c>
      <c r="G1096" s="94">
        <f t="shared" si="49"/>
        <v>8.3807553026371551E-4</v>
      </c>
      <c r="J1096" s="264">
        <v>235.24</v>
      </c>
      <c r="K1096" s="94">
        <f t="shared" si="50"/>
        <v>-4.8766680145572172E-2</v>
      </c>
    </row>
    <row r="1097" spans="2:11" x14ac:dyDescent="0.25">
      <c r="B1097" s="263">
        <v>46003</v>
      </c>
      <c r="C1097" s="162">
        <v>6827.41</v>
      </c>
      <c r="D1097" s="94">
        <f t="shared" ref="D1097:D1160" si="51">C1097/C1096-1</f>
        <v>-1.0663671931604113E-2</v>
      </c>
      <c r="F1097" s="161">
        <v>1936.82</v>
      </c>
      <c r="G1097" s="94">
        <f t="shared" ref="G1097:G1160" si="52">F1097/F1096-1</f>
        <v>1.1371742254293604E-3</v>
      </c>
      <c r="J1097" s="264">
        <v>235.89</v>
      </c>
      <c r="K1097" s="94">
        <f t="shared" si="50"/>
        <v>2.7631355211696906E-3</v>
      </c>
    </row>
    <row r="1098" spans="2:11" x14ac:dyDescent="0.25">
      <c r="B1098" s="263">
        <v>46006</v>
      </c>
      <c r="C1098" s="162">
        <v>6816.51</v>
      </c>
      <c r="D1098" s="94">
        <f t="shared" si="51"/>
        <v>-1.5965058492165562E-3</v>
      </c>
      <c r="F1098" s="161">
        <v>1946.16</v>
      </c>
      <c r="G1098" s="94">
        <f t="shared" si="52"/>
        <v>4.8223376462448453E-3</v>
      </c>
      <c r="J1098" s="264">
        <v>239.7</v>
      </c>
      <c r="K1098" s="94">
        <f t="shared" ref="K1098:K1161" si="53">J1098/J1097-1</f>
        <v>1.6151596082919939E-2</v>
      </c>
    </row>
    <row r="1099" spans="2:11" x14ac:dyDescent="0.25">
      <c r="B1099" s="263">
        <v>46007</v>
      </c>
      <c r="C1099" s="162">
        <v>6800.26</v>
      </c>
      <c r="D1099" s="94">
        <f t="shared" si="51"/>
        <v>-2.3839178699950336E-3</v>
      </c>
      <c r="F1099" s="161">
        <v>1952.12</v>
      </c>
      <c r="G1099" s="94">
        <f t="shared" si="52"/>
        <v>3.0624409092776528E-3</v>
      </c>
      <c r="J1099" s="264">
        <v>246.56</v>
      </c>
      <c r="K1099" s="94">
        <f t="shared" si="53"/>
        <v>2.8619107217355166E-2</v>
      </c>
    </row>
    <row r="1100" spans="2:11" x14ac:dyDescent="0.25">
      <c r="B1100" s="263">
        <v>46008</v>
      </c>
      <c r="C1100" s="162">
        <v>6721.43</v>
      </c>
      <c r="D1100" s="94">
        <f t="shared" si="51"/>
        <v>-1.1592203827500702E-2</v>
      </c>
      <c r="F1100" s="161">
        <v>1928.23</v>
      </c>
      <c r="G1100" s="94">
        <f t="shared" si="52"/>
        <v>-1.2237977173534365E-2</v>
      </c>
      <c r="J1100" s="264">
        <v>247.44</v>
      </c>
      <c r="K1100" s="94">
        <f t="shared" si="53"/>
        <v>3.5691109669044874E-3</v>
      </c>
    </row>
    <row r="1101" spans="2:11" x14ac:dyDescent="0.25">
      <c r="B1101" s="263">
        <v>46009</v>
      </c>
      <c r="C1101" s="162">
        <v>6774.76</v>
      </c>
      <c r="D1101" s="94">
        <f t="shared" si="51"/>
        <v>7.9343234996123169E-3</v>
      </c>
      <c r="F1101" s="161">
        <v>1962.49</v>
      </c>
      <c r="G1101" s="94">
        <f t="shared" si="52"/>
        <v>1.7767589965927311E-2</v>
      </c>
      <c r="J1101" s="264">
        <v>254.53</v>
      </c>
      <c r="K1101" s="94">
        <f t="shared" si="53"/>
        <v>2.8653410927901746E-2</v>
      </c>
    </row>
    <row r="1102" spans="2:11" x14ac:dyDescent="0.25">
      <c r="B1102" s="263">
        <v>46010</v>
      </c>
      <c r="C1102" s="162">
        <v>6834.5</v>
      </c>
      <c r="D1102" s="94">
        <f t="shared" si="51"/>
        <v>8.8180245499471788E-3</v>
      </c>
      <c r="F1102" s="161">
        <v>1956.46</v>
      </c>
      <c r="G1102" s="94">
        <f t="shared" si="52"/>
        <v>-3.0726271216668932E-3</v>
      </c>
      <c r="J1102" s="264">
        <v>259.2</v>
      </c>
      <c r="K1102" s="94">
        <f t="shared" si="53"/>
        <v>1.8347542529367766E-2</v>
      </c>
    </row>
    <row r="1103" spans="2:11" x14ac:dyDescent="0.25">
      <c r="B1103" s="263">
        <v>46013</v>
      </c>
      <c r="C1103" s="162">
        <v>6878.49</v>
      </c>
      <c r="D1103" s="94">
        <f t="shared" si="51"/>
        <v>6.4364620674519646E-3</v>
      </c>
      <c r="F1103" s="161">
        <v>1968.74</v>
      </c>
      <c r="G1103" s="94">
        <f t="shared" si="52"/>
        <v>6.276642507385688E-3</v>
      </c>
      <c r="J1103" s="264">
        <v>254.35</v>
      </c>
      <c r="K1103" s="94">
        <f t="shared" si="53"/>
        <v>-1.8711419753086433E-2</v>
      </c>
    </row>
    <row r="1104" spans="2:11" x14ac:dyDescent="0.25">
      <c r="B1104" s="263">
        <v>46014</v>
      </c>
      <c r="C1104" s="162">
        <v>6909.79</v>
      </c>
      <c r="D1104" s="94">
        <f t="shared" si="51"/>
        <v>4.5504173154282679E-3</v>
      </c>
      <c r="F1104" s="161">
        <v>1972.24</v>
      </c>
      <c r="G1104" s="94">
        <f t="shared" si="52"/>
        <v>1.7777868078059367E-3</v>
      </c>
      <c r="J1104" s="264">
        <v>251.53</v>
      </c>
      <c r="K1104" s="94">
        <f t="shared" si="53"/>
        <v>-1.1087084725771579E-2</v>
      </c>
    </row>
    <row r="1105" spans="2:11" x14ac:dyDescent="0.25">
      <c r="B1105" s="263">
        <v>46015</v>
      </c>
      <c r="C1105" s="162">
        <v>6932.05</v>
      </c>
      <c r="D1105" s="94">
        <f t="shared" si="51"/>
        <v>3.2215161386959235E-3</v>
      </c>
      <c r="F1105" s="161">
        <v>1977.73</v>
      </c>
      <c r="G1105" s="94">
        <f t="shared" si="52"/>
        <v>2.7836368798930256E-3</v>
      </c>
      <c r="J1105" s="264">
        <v>254.32</v>
      </c>
      <c r="K1105" s="94">
        <f t="shared" si="53"/>
        <v>1.1092116248558881E-2</v>
      </c>
    </row>
    <row r="1106" spans="2:11" x14ac:dyDescent="0.25">
      <c r="B1106" s="263">
        <v>46017</v>
      </c>
      <c r="C1106" s="162">
        <v>6929.94</v>
      </c>
      <c r="D1106" s="94">
        <f t="shared" si="51"/>
        <v>-3.043832632483312E-4</v>
      </c>
      <c r="F1106" s="161">
        <v>1968.95</v>
      </c>
      <c r="G1106" s="94">
        <f t="shared" si="52"/>
        <v>-4.439433087428557E-3</v>
      </c>
      <c r="J1106" s="264">
        <v>256.19</v>
      </c>
      <c r="K1106" s="94">
        <f t="shared" si="53"/>
        <v>7.3529411764705621E-3</v>
      </c>
    </row>
    <row r="1107" spans="2:11" x14ac:dyDescent="0.25">
      <c r="B1107" s="263">
        <v>46020</v>
      </c>
      <c r="C1107" s="162">
        <v>6905.74</v>
      </c>
      <c r="D1107" s="94">
        <f t="shared" si="51"/>
        <v>-3.4920937266411656E-3</v>
      </c>
      <c r="F1107" s="161">
        <v>1950.23</v>
      </c>
      <c r="G1107" s="94">
        <f t="shared" si="52"/>
        <v>-9.5076055765763723E-3</v>
      </c>
      <c r="J1107" s="264">
        <v>243.51</v>
      </c>
      <c r="K1107" s="94">
        <f t="shared" si="53"/>
        <v>-4.9494515789062832E-2</v>
      </c>
    </row>
    <row r="1108" spans="2:11" x14ac:dyDescent="0.25">
      <c r="B1108" s="263">
        <v>46021</v>
      </c>
      <c r="C1108" s="162">
        <v>6896.24</v>
      </c>
      <c r="D1108" s="94">
        <f t="shared" si="51"/>
        <v>-1.3756671985912794E-3</v>
      </c>
      <c r="F1108" s="161">
        <v>1943.9</v>
      </c>
      <c r="G1108" s="94">
        <f t="shared" si="52"/>
        <v>-3.2457710116242655E-3</v>
      </c>
      <c r="J1108" s="264">
        <v>240.33</v>
      </c>
      <c r="K1108" s="94">
        <f t="shared" si="53"/>
        <v>-1.305901195022785E-2</v>
      </c>
    </row>
    <row r="1109" spans="2:11" x14ac:dyDescent="0.25">
      <c r="B1109" s="263">
        <v>46022</v>
      </c>
      <c r="C1109" s="162">
        <v>6845.5</v>
      </c>
      <c r="D1109" s="94">
        <f t="shared" si="51"/>
        <v>-7.3576325649918894E-3</v>
      </c>
      <c r="F1109" s="161">
        <v>1928.43</v>
      </c>
      <c r="G1109" s="94">
        <f t="shared" si="52"/>
        <v>-7.9582283039251189E-3</v>
      </c>
      <c r="J1109" s="264">
        <v>238.49</v>
      </c>
      <c r="K1109" s="94">
        <f t="shared" si="53"/>
        <v>-7.6561394748887457E-3</v>
      </c>
    </row>
    <row r="1110" spans="2:11" x14ac:dyDescent="0.25">
      <c r="B1110" s="263">
        <v>46024</v>
      </c>
      <c r="C1110" s="162">
        <v>6858.47</v>
      </c>
      <c r="D1110" s="94">
        <f t="shared" si="51"/>
        <v>1.8946753341611E-3</v>
      </c>
      <c r="F1110" s="161">
        <v>1906.48</v>
      </c>
      <c r="G1110" s="94">
        <f t="shared" si="52"/>
        <v>-1.138231618466834E-2</v>
      </c>
      <c r="J1110" s="264">
        <v>256.83999999999997</v>
      </c>
      <c r="K1110" s="94">
        <f t="shared" si="53"/>
        <v>7.6942429451968497E-2</v>
      </c>
    </row>
    <row r="1111" spans="2:11" x14ac:dyDescent="0.25">
      <c r="B1111" s="263">
        <v>46027</v>
      </c>
      <c r="C1111" s="162">
        <v>6902.05</v>
      </c>
      <c r="D1111" s="94">
        <f t="shared" si="51"/>
        <v>6.3541868667500445E-3</v>
      </c>
      <c r="F1111" s="161">
        <v>1943.36</v>
      </c>
      <c r="G1111" s="94">
        <f t="shared" si="52"/>
        <v>1.9344551214804273E-2</v>
      </c>
      <c r="J1111" s="264">
        <v>257.82</v>
      </c>
      <c r="K1111" s="94">
        <f t="shared" si="53"/>
        <v>3.8156050459430269E-3</v>
      </c>
    </row>
    <row r="1112" spans="2:11" x14ac:dyDescent="0.25">
      <c r="B1112" s="263">
        <v>46028</v>
      </c>
      <c r="C1112" s="162">
        <v>6944.82</v>
      </c>
      <c r="D1112" s="94">
        <f t="shared" si="51"/>
        <v>6.1967096732129523E-3</v>
      </c>
      <c r="F1112" s="161">
        <v>1961.67</v>
      </c>
      <c r="G1112" s="94">
        <f t="shared" si="52"/>
        <v>9.4218261155936123E-3</v>
      </c>
      <c r="J1112" s="264">
        <v>268.86</v>
      </c>
      <c r="K1112" s="94">
        <f t="shared" si="53"/>
        <v>4.2820572492436648E-2</v>
      </c>
    </row>
    <row r="1113" spans="2:11" x14ac:dyDescent="0.25">
      <c r="B1113" s="263">
        <v>46029</v>
      </c>
      <c r="C1113" s="162">
        <v>6920.93</v>
      </c>
      <c r="D1113" s="94">
        <f t="shared" si="51"/>
        <v>-3.4399739662078765E-3</v>
      </c>
      <c r="F1113" s="161">
        <v>1960.16</v>
      </c>
      <c r="G1113" s="94">
        <f t="shared" si="52"/>
        <v>-7.6975230288478524E-4</v>
      </c>
      <c r="J1113" s="264">
        <v>258.14</v>
      </c>
      <c r="K1113" s="94">
        <f t="shared" si="53"/>
        <v>-3.9872052369262945E-2</v>
      </c>
    </row>
    <row r="1114" spans="2:11" x14ac:dyDescent="0.25">
      <c r="B1114" s="263">
        <v>46030</v>
      </c>
      <c r="C1114" s="162">
        <v>6921.46</v>
      </c>
      <c r="D1114" s="94">
        <f t="shared" si="51"/>
        <v>7.6579303648571795E-5</v>
      </c>
      <c r="F1114" s="161">
        <v>1993.84</v>
      </c>
      <c r="G1114" s="94">
        <f t="shared" si="52"/>
        <v>1.7182270835033764E-2</v>
      </c>
      <c r="J1114" s="264">
        <v>268.69</v>
      </c>
      <c r="K1114" s="94">
        <f t="shared" si="53"/>
        <v>4.0869295730998623E-2</v>
      </c>
    </row>
    <row r="1115" spans="2:11" x14ac:dyDescent="0.25">
      <c r="B1115" s="263">
        <v>46031</v>
      </c>
      <c r="C1115" s="162">
        <v>6966.28</v>
      </c>
      <c r="D1115" s="94">
        <f t="shared" si="51"/>
        <v>6.4755123918942559E-3</v>
      </c>
      <c r="F1115" s="161">
        <v>2016.52</v>
      </c>
      <c r="G1115" s="94">
        <f t="shared" si="52"/>
        <v>1.137503510813298E-2</v>
      </c>
      <c r="J1115" s="264">
        <v>274</v>
      </c>
      <c r="K1115" s="94">
        <f t="shared" si="53"/>
        <v>1.9762551639435744E-2</v>
      </c>
    </row>
    <row r="1116" spans="2:11" x14ac:dyDescent="0.25">
      <c r="B1116" s="263">
        <v>46034</v>
      </c>
      <c r="C1116" s="162">
        <v>6977.27</v>
      </c>
      <c r="D1116" s="94">
        <f t="shared" si="51"/>
        <v>1.5775995222702122E-3</v>
      </c>
      <c r="F1116" s="161">
        <v>2017.26</v>
      </c>
      <c r="G1116" s="94">
        <f t="shared" si="52"/>
        <v>3.6696883740305886E-4</v>
      </c>
      <c r="J1116" s="264">
        <v>284.66000000000003</v>
      </c>
      <c r="K1116" s="94">
        <f t="shared" si="53"/>
        <v>3.8905109489051126E-2</v>
      </c>
    </row>
    <row r="1117" spans="2:11" x14ac:dyDescent="0.25">
      <c r="B1117" s="263">
        <v>46035</v>
      </c>
      <c r="C1117" s="162">
        <v>6963.74</v>
      </c>
      <c r="D1117" s="94">
        <f t="shared" si="51"/>
        <v>-1.9391538524380358E-3</v>
      </c>
      <c r="F1117" s="161">
        <v>2007.03</v>
      </c>
      <c r="G1117" s="94">
        <f t="shared" si="52"/>
        <v>-5.0712352398798455E-3</v>
      </c>
      <c r="J1117" s="264">
        <v>275.67</v>
      </c>
      <c r="K1117" s="94">
        <f t="shared" si="53"/>
        <v>-3.1581535867350574E-2</v>
      </c>
    </row>
    <row r="1118" spans="2:11" x14ac:dyDescent="0.25">
      <c r="B1118" s="263">
        <v>46036</v>
      </c>
      <c r="C1118" s="162">
        <v>6926.6</v>
      </c>
      <c r="D1118" s="94">
        <f t="shared" si="51"/>
        <v>-5.3333409920530706E-3</v>
      </c>
      <c r="F1118" s="161">
        <v>1971.82</v>
      </c>
      <c r="G1118" s="94">
        <f t="shared" si="52"/>
        <v>-1.7543335176853359E-2</v>
      </c>
      <c r="J1118" s="264">
        <v>274.61</v>
      </c>
      <c r="K1118" s="94">
        <f t="shared" si="53"/>
        <v>-3.8451772046287358E-3</v>
      </c>
    </row>
    <row r="1119" spans="2:11" x14ac:dyDescent="0.25">
      <c r="B1119" s="263">
        <v>46037</v>
      </c>
      <c r="C1119" s="162">
        <v>6944.47</v>
      </c>
      <c r="D1119" s="94">
        <f t="shared" si="51"/>
        <v>2.579909335027164E-3</v>
      </c>
      <c r="F1119" s="161">
        <v>1979.84</v>
      </c>
      <c r="G1119" s="94">
        <f t="shared" si="52"/>
        <v>4.0673083750037975E-3</v>
      </c>
      <c r="J1119" s="264">
        <v>270.73</v>
      </c>
      <c r="K1119" s="94">
        <f t="shared" si="53"/>
        <v>-1.4129128582353156E-2</v>
      </c>
    </row>
    <row r="1120" spans="2:11" x14ac:dyDescent="0.25">
      <c r="B1120" s="263">
        <v>46038</v>
      </c>
      <c r="C1120" s="162">
        <v>6940.01</v>
      </c>
      <c r="D1120" s="94">
        <f t="shared" si="51"/>
        <v>-6.4223763656545696E-4</v>
      </c>
      <c r="F1120" s="161">
        <v>1976.41</v>
      </c>
      <c r="G1120" s="94">
        <f t="shared" si="52"/>
        <v>-1.7324632293518327E-3</v>
      </c>
      <c r="J1120" s="264">
        <v>276.31</v>
      </c>
      <c r="K1120" s="94">
        <f t="shared" si="53"/>
        <v>2.0610940789716592E-2</v>
      </c>
    </row>
    <row r="1121" spans="2:11" x14ac:dyDescent="0.25">
      <c r="B1121" s="263">
        <v>46042</v>
      </c>
      <c r="C1121" s="162">
        <v>6796.86</v>
      </c>
      <c r="D1121" s="94">
        <f t="shared" si="51"/>
        <v>-2.0626771431165203E-2</v>
      </c>
      <c r="F1121" s="161">
        <v>1920.64</v>
      </c>
      <c r="G1121" s="94">
        <f t="shared" si="52"/>
        <v>-2.821782929655281E-2</v>
      </c>
      <c r="J1121" s="264">
        <v>270.24</v>
      </c>
      <c r="K1121" s="94">
        <f t="shared" si="53"/>
        <v>-2.1968079331185941E-2</v>
      </c>
    </row>
    <row r="1122" spans="2:11" x14ac:dyDescent="0.25">
      <c r="B1122" s="263">
        <v>46043</v>
      </c>
      <c r="C1122" s="162">
        <v>6875.62</v>
      </c>
      <c r="D1122" s="94">
        <f t="shared" si="51"/>
        <v>1.1587703733783039E-2</v>
      </c>
      <c r="F1122" s="161">
        <v>1951.31</v>
      </c>
      <c r="G1122" s="94">
        <f t="shared" si="52"/>
        <v>1.5968635454848279E-2</v>
      </c>
      <c r="J1122" s="264">
        <v>264.2</v>
      </c>
      <c r="K1122" s="94">
        <f t="shared" si="53"/>
        <v>-2.2350503256364784E-2</v>
      </c>
    </row>
    <row r="1123" spans="2:11" x14ac:dyDescent="0.25">
      <c r="B1123" s="263">
        <v>46044</v>
      </c>
      <c r="C1123" s="162">
        <v>6913.35</v>
      </c>
      <c r="D1123" s="94">
        <f t="shared" si="51"/>
        <v>5.4875051268103991E-3</v>
      </c>
      <c r="F1123" s="161">
        <v>1975.02</v>
      </c>
      <c r="G1123" s="94">
        <f t="shared" si="52"/>
        <v>1.215081150611641E-2</v>
      </c>
      <c r="J1123" s="264">
        <v>268.37</v>
      </c>
      <c r="K1123" s="94">
        <f t="shared" si="53"/>
        <v>1.5783497350492004E-2</v>
      </c>
    </row>
    <row r="1124" spans="2:11" x14ac:dyDescent="0.25">
      <c r="B1124" s="263">
        <v>46045</v>
      </c>
      <c r="C1124" s="162">
        <v>6915.61</v>
      </c>
      <c r="D1124" s="94">
        <f t="shared" si="51"/>
        <v>3.2690374420485391E-4</v>
      </c>
      <c r="F1124" s="161">
        <v>1989.4</v>
      </c>
      <c r="G1124" s="94">
        <f t="shared" si="52"/>
        <v>7.2809389272008307E-3</v>
      </c>
      <c r="J1124" s="264">
        <v>271.39</v>
      </c>
      <c r="K1124" s="94">
        <f t="shared" si="53"/>
        <v>1.1253120691582463E-2</v>
      </c>
    </row>
    <row r="1125" spans="2:11" x14ac:dyDescent="0.25">
      <c r="B1125" s="263">
        <v>46048</v>
      </c>
      <c r="C1125" s="162">
        <v>6950.23</v>
      </c>
      <c r="D1125" s="94">
        <f t="shared" si="51"/>
        <v>5.0060659869484159E-3</v>
      </c>
      <c r="F1125" s="161">
        <v>1975.29</v>
      </c>
      <c r="G1125" s="94">
        <f t="shared" si="52"/>
        <v>-7.0925907308736491E-3</v>
      </c>
      <c r="J1125" s="264">
        <v>273.7</v>
      </c>
      <c r="K1125" s="94">
        <f t="shared" si="53"/>
        <v>8.5117358782564878E-3</v>
      </c>
    </row>
    <row r="1126" spans="2:11" x14ac:dyDescent="0.25">
      <c r="B1126" s="263">
        <v>46049</v>
      </c>
      <c r="C1126" s="162">
        <v>6978.6</v>
      </c>
      <c r="D1126" s="94">
        <f t="shared" si="51"/>
        <v>4.0818793047137092E-3</v>
      </c>
      <c r="F1126" s="161">
        <v>1988.52</v>
      </c>
      <c r="G1126" s="94">
        <f t="shared" si="52"/>
        <v>6.697750710022321E-3</v>
      </c>
      <c r="J1126" s="264">
        <v>274.95999999999998</v>
      </c>
      <c r="K1126" s="94">
        <f t="shared" si="53"/>
        <v>4.6035805626598592E-3</v>
      </c>
    </row>
    <row r="1127" spans="2:11" x14ac:dyDescent="0.25">
      <c r="B1127" s="263">
        <v>46050</v>
      </c>
      <c r="C1127" s="162">
        <v>6978.03</v>
      </c>
      <c r="D1127" s="94">
        <f t="shared" si="51"/>
        <v>-8.1678273579299798E-5</v>
      </c>
      <c r="F1127" s="161">
        <v>1975.14</v>
      </c>
      <c r="G1127" s="94">
        <f t="shared" si="52"/>
        <v>-6.7286222919558103E-3</v>
      </c>
      <c r="J1127" s="264">
        <v>272.7</v>
      </c>
      <c r="K1127" s="94">
        <f t="shared" si="53"/>
        <v>-8.2193773639801515E-3</v>
      </c>
    </row>
    <row r="1128" spans="2:11" x14ac:dyDescent="0.25">
      <c r="B1128" s="263">
        <v>46051</v>
      </c>
      <c r="C1128" s="162">
        <v>6969.01</v>
      </c>
      <c r="D1128" s="94">
        <f t="shared" si="51"/>
        <v>-1.2926284352460238E-3</v>
      </c>
      <c r="F1128" s="161">
        <v>1962.52</v>
      </c>
      <c r="G1128" s="94">
        <f t="shared" si="52"/>
        <v>-6.3894204967749335E-3</v>
      </c>
      <c r="J1128" s="264">
        <v>272.32</v>
      </c>
      <c r="K1128" s="94">
        <f t="shared" si="53"/>
        <v>-1.3934726806014153E-3</v>
      </c>
    </row>
    <row r="1129" spans="2:11" x14ac:dyDescent="0.25">
      <c r="B1129" s="263">
        <v>46052</v>
      </c>
      <c r="C1129" s="162">
        <v>6939.03</v>
      </c>
      <c r="D1129" s="94">
        <f t="shared" si="51"/>
        <v>-4.3019022788028938E-3</v>
      </c>
      <c r="F1129" s="161">
        <v>1961.14</v>
      </c>
      <c r="G1129" s="94">
        <f t="shared" si="52"/>
        <v>-7.0317754723514536E-4</v>
      </c>
      <c r="J1129" s="264">
        <v>265.43</v>
      </c>
      <c r="K1129" s="94">
        <f t="shared" si="53"/>
        <v>-2.5301116333725004E-2</v>
      </c>
    </row>
    <row r="1130" spans="2:11" x14ac:dyDescent="0.25">
      <c r="B1130" s="263">
        <v>46055</v>
      </c>
      <c r="C1130" s="162">
        <v>6976.44</v>
      </c>
      <c r="D1130" s="94">
        <f t="shared" si="51"/>
        <v>5.3912434446889979E-3</v>
      </c>
      <c r="F1130" s="161">
        <v>1975.23</v>
      </c>
      <c r="G1130" s="94">
        <f t="shared" si="52"/>
        <v>7.1845967141559441E-3</v>
      </c>
      <c r="J1130" s="264">
        <v>266.66000000000003</v>
      </c>
      <c r="K1130" s="94">
        <f t="shared" si="53"/>
        <v>4.6339901292242747E-3</v>
      </c>
    </row>
    <row r="1131" spans="2:11" x14ac:dyDescent="0.25">
      <c r="B1131" s="263">
        <v>46056</v>
      </c>
      <c r="C1131" s="162">
        <v>6917.81</v>
      </c>
      <c r="D1131" s="94">
        <f t="shared" si="51"/>
        <v>-8.4039997477222128E-3</v>
      </c>
      <c r="F1131" s="161">
        <v>1956.51</v>
      </c>
      <c r="G1131" s="94">
        <f t="shared" si="52"/>
        <v>-9.4773773180845122E-3</v>
      </c>
      <c r="J1131" s="264">
        <v>274.72000000000003</v>
      </c>
      <c r="K1131" s="94">
        <f t="shared" si="53"/>
        <v>3.0225755643891183E-2</v>
      </c>
    </row>
    <row r="1132" spans="2:11" x14ac:dyDescent="0.25">
      <c r="B1132" s="263">
        <v>46057</v>
      </c>
      <c r="C1132" s="162">
        <v>6882.72</v>
      </c>
      <c r="D1132" s="94">
        <f t="shared" si="51"/>
        <v>-5.0724145358140849E-3</v>
      </c>
      <c r="F1132" s="161">
        <v>1933.87</v>
      </c>
      <c r="G1132" s="94">
        <f t="shared" si="52"/>
        <v>-1.1571624985305506E-2</v>
      </c>
      <c r="J1132" s="264">
        <v>282.86</v>
      </c>
      <c r="K1132" s="94">
        <f t="shared" si="53"/>
        <v>2.9630168899242859E-2</v>
      </c>
    </row>
    <row r="1133" spans="2:11" x14ac:dyDescent="0.25">
      <c r="B1133" s="263">
        <v>46058</v>
      </c>
      <c r="C1133" s="162">
        <v>6798.4</v>
      </c>
      <c r="D1133" s="94">
        <f t="shared" si="51"/>
        <v>-1.2250970546528239E-2</v>
      </c>
      <c r="F1133" s="161">
        <v>1883.84</v>
      </c>
      <c r="G1133" s="94">
        <f t="shared" si="52"/>
        <v>-2.5870404939318581E-2</v>
      </c>
      <c r="J1133" s="264">
        <v>266.17</v>
      </c>
      <c r="K1133" s="94">
        <f t="shared" si="53"/>
        <v>-5.9004454500459547E-2</v>
      </c>
    </row>
    <row r="1134" spans="2:11" x14ac:dyDescent="0.25">
      <c r="B1134" s="263">
        <v>46059</v>
      </c>
      <c r="C1134" s="162">
        <v>6932.3</v>
      </c>
      <c r="D1134" s="94">
        <f t="shared" si="51"/>
        <v>1.9695810779006839E-2</v>
      </c>
      <c r="F1134" s="161">
        <v>1871.49</v>
      </c>
      <c r="G1134" s="94">
        <f t="shared" si="52"/>
        <v>-6.5557584508237898E-3</v>
      </c>
      <c r="J1134" s="264">
        <v>264.01</v>
      </c>
      <c r="K1134" s="94">
        <f t="shared" si="53"/>
        <v>-8.1151144005711107E-3</v>
      </c>
    </row>
    <row r="1135" spans="2:11" x14ac:dyDescent="0.25">
      <c r="B1135" s="263">
        <v>46062</v>
      </c>
      <c r="C1135" s="162">
        <v>6964.82</v>
      </c>
      <c r="D1135" s="94">
        <f t="shared" si="51"/>
        <v>4.6910837672922145E-3</v>
      </c>
      <c r="F1135" s="161">
        <v>1865.04</v>
      </c>
      <c r="G1135" s="94">
        <f t="shared" si="52"/>
        <v>-3.4464517576904274E-3</v>
      </c>
      <c r="J1135" s="264">
        <v>281.75</v>
      </c>
      <c r="K1135" s="94">
        <f t="shared" si="53"/>
        <v>6.7194424453619117E-2</v>
      </c>
    </row>
    <row r="1136" spans="2:11" x14ac:dyDescent="0.25">
      <c r="B1136" s="263">
        <v>46063</v>
      </c>
      <c r="C1136" s="162">
        <v>6941.81</v>
      </c>
      <c r="D1136" s="94">
        <f t="shared" si="51"/>
        <v>-3.3037465433419788E-3</v>
      </c>
      <c r="F1136" s="161">
        <v>1873.44</v>
      </c>
      <c r="G1136" s="94">
        <f t="shared" si="52"/>
        <v>4.5039248487968031E-3</v>
      </c>
      <c r="J1136" s="264">
        <v>259.64</v>
      </c>
      <c r="K1136" s="94">
        <f t="shared" si="53"/>
        <v>-7.8473824312333629E-2</v>
      </c>
    </row>
    <row r="1137" spans="2:11" x14ac:dyDescent="0.25">
      <c r="B1137" s="263">
        <v>46064</v>
      </c>
      <c r="C1137" s="162">
        <v>6941.47</v>
      </c>
      <c r="D1137" s="94">
        <f t="shared" si="51"/>
        <v>-4.8978580514336123E-5</v>
      </c>
      <c r="F1137" s="161">
        <v>1863.05</v>
      </c>
      <c r="G1137" s="94">
        <f t="shared" si="52"/>
        <v>-5.5459475617046783E-3</v>
      </c>
      <c r="J1137" s="264">
        <v>243.66</v>
      </c>
      <c r="K1137" s="94">
        <f t="shared" si="53"/>
        <v>-6.1546757048220546E-2</v>
      </c>
    </row>
    <row r="1138" spans="2:11" x14ac:dyDescent="0.25">
      <c r="B1138" s="263">
        <v>46065</v>
      </c>
      <c r="C1138" s="162">
        <v>6832.76</v>
      </c>
      <c r="D1138" s="94">
        <f t="shared" si="51"/>
        <v>-1.5660947897203292E-2</v>
      </c>
      <c r="F1138" s="161">
        <v>1833.67</v>
      </c>
      <c r="G1138" s="94">
        <f t="shared" si="52"/>
        <v>-1.5769839778857153E-2</v>
      </c>
      <c r="J1138" s="264">
        <v>224</v>
      </c>
      <c r="K1138" s="94">
        <f t="shared" si="53"/>
        <v>-8.0686202084872316E-2</v>
      </c>
    </row>
    <row r="1139" spans="2:11" x14ac:dyDescent="0.25">
      <c r="B1139" s="263">
        <v>46066</v>
      </c>
      <c r="C1139" s="162">
        <v>6836.17</v>
      </c>
      <c r="D1139" s="94">
        <f t="shared" si="51"/>
        <v>4.9906626312057334E-4</v>
      </c>
      <c r="F1139" s="161">
        <v>1832.2</v>
      </c>
      <c r="G1139" s="94">
        <f t="shared" si="52"/>
        <v>-8.0167096587724362E-4</v>
      </c>
      <c r="J1139" s="264">
        <v>221.65</v>
      </c>
      <c r="K1139" s="94">
        <f t="shared" si="53"/>
        <v>-1.0491071428571419E-2</v>
      </c>
    </row>
    <row r="1140" spans="2:11" x14ac:dyDescent="0.25">
      <c r="B1140" s="263">
        <v>46070</v>
      </c>
      <c r="C1140" s="162">
        <v>6843.22</v>
      </c>
      <c r="D1140" s="94">
        <f t="shared" si="51"/>
        <v>1.0312792104349988E-3</v>
      </c>
      <c r="F1140" s="161">
        <v>1831.86</v>
      </c>
      <c r="G1140" s="94">
        <f t="shared" si="52"/>
        <v>-1.8556926099777549E-4</v>
      </c>
      <c r="J1140" s="264">
        <v>251.78</v>
      </c>
      <c r="K1140" s="94">
        <f t="shared" si="53"/>
        <v>0.13593503270922613</v>
      </c>
    </row>
    <row r="1141" spans="2:11" x14ac:dyDescent="0.25">
      <c r="B1141" s="263">
        <v>46071</v>
      </c>
      <c r="C1141" s="162">
        <v>6881.31</v>
      </c>
      <c r="D1141" s="94">
        <f t="shared" si="51"/>
        <v>5.5660931549768033E-3</v>
      </c>
      <c r="F1141" s="161">
        <v>1850.18</v>
      </c>
      <c r="G1141" s="94">
        <f t="shared" si="52"/>
        <v>1.0000764250543304E-2</v>
      </c>
      <c r="J1141" s="264">
        <v>279.08</v>
      </c>
      <c r="K1141" s="94">
        <f t="shared" si="53"/>
        <v>0.10842799269203263</v>
      </c>
    </row>
    <row r="1142" spans="2:11" x14ac:dyDescent="0.25">
      <c r="B1142" s="263">
        <v>46072</v>
      </c>
      <c r="C1142" s="162">
        <v>6861.89</v>
      </c>
      <c r="D1142" s="94">
        <f t="shared" si="51"/>
        <v>-2.8221370640183485E-3</v>
      </c>
      <c r="F1142" s="161">
        <v>1840.45</v>
      </c>
      <c r="G1142" s="94">
        <f t="shared" si="52"/>
        <v>-5.2589477780540239E-3</v>
      </c>
      <c r="J1142" s="264">
        <v>259.99</v>
      </c>
      <c r="K1142" s="94">
        <f t="shared" si="53"/>
        <v>-6.8403325211408794E-2</v>
      </c>
    </row>
    <row r="1143" spans="2:11" x14ac:dyDescent="0.25">
      <c r="B1143" s="263">
        <v>46073</v>
      </c>
      <c r="C1143" s="162">
        <v>6909.51</v>
      </c>
      <c r="D1143" s="94">
        <f t="shared" si="51"/>
        <v>6.9397789821754596E-3</v>
      </c>
      <c r="F1143" s="161">
        <v>1863.8</v>
      </c>
      <c r="G1143" s="94">
        <f t="shared" si="52"/>
        <v>1.268711456437277E-2</v>
      </c>
      <c r="J1143" s="264">
        <v>260.89</v>
      </c>
      <c r="K1143" s="94">
        <f t="shared" si="53"/>
        <v>3.4616716027537908E-3</v>
      </c>
    </row>
    <row r="1144" spans="2:11" x14ac:dyDescent="0.25">
      <c r="B1144" s="263">
        <v>46076</v>
      </c>
      <c r="C1144" s="162">
        <v>6837.75</v>
      </c>
      <c r="D1144" s="94">
        <f t="shared" si="51"/>
        <v>-1.0385685815636703E-2</v>
      </c>
      <c r="F1144" s="161">
        <v>1823.7</v>
      </c>
      <c r="G1144" s="94">
        <f t="shared" si="52"/>
        <v>-2.1515184032621426E-2</v>
      </c>
      <c r="J1144" s="264">
        <v>248.34</v>
      </c>
      <c r="K1144" s="94">
        <f t="shared" si="53"/>
        <v>-4.8104565142397138E-2</v>
      </c>
    </row>
    <row r="1145" spans="2:11" x14ac:dyDescent="0.25">
      <c r="B1145" s="263">
        <v>46077</v>
      </c>
      <c r="C1145" s="162">
        <v>6890.07</v>
      </c>
      <c r="D1145" s="94">
        <f t="shared" si="51"/>
        <v>7.6516397937917979E-3</v>
      </c>
      <c r="F1145" s="161">
        <v>1852.6</v>
      </c>
      <c r="G1145" s="94">
        <f t="shared" si="52"/>
        <v>1.5846904644404081E-2</v>
      </c>
      <c r="J1145" s="264">
        <v>246.67</v>
      </c>
      <c r="K1145" s="94">
        <f t="shared" si="53"/>
        <v>-6.7246516872030426E-3</v>
      </c>
    </row>
    <row r="1146" spans="2:11" x14ac:dyDescent="0.25">
      <c r="B1146" s="263">
        <v>46078</v>
      </c>
      <c r="C1146" s="162">
        <v>6946.13</v>
      </c>
      <c r="D1146" s="94">
        <f t="shared" si="51"/>
        <v>8.1363469456769977E-3</v>
      </c>
      <c r="F1146" s="161">
        <v>1861.5</v>
      </c>
      <c r="G1146" s="94">
        <f t="shared" si="52"/>
        <v>4.8040591600992943E-3</v>
      </c>
      <c r="J1146" s="264">
        <v>254.2</v>
      </c>
      <c r="K1146" s="94">
        <f t="shared" si="53"/>
        <v>3.0526614505209437E-2</v>
      </c>
    </row>
    <row r="1147" spans="2:11" x14ac:dyDescent="0.25">
      <c r="B1147" s="263">
        <v>46079</v>
      </c>
      <c r="C1147" s="162">
        <v>6908.86</v>
      </c>
      <c r="D1147" s="94">
        <f t="shared" si="51"/>
        <v>-5.3655776669887523E-3</v>
      </c>
      <c r="F1147" s="161">
        <v>1854.14</v>
      </c>
      <c r="G1147" s="94">
        <f t="shared" si="52"/>
        <v>-3.9538006983614871E-3</v>
      </c>
      <c r="J1147" s="264">
        <v>272</v>
      </c>
      <c r="K1147" s="94">
        <f t="shared" si="53"/>
        <v>7.0023603461841111E-2</v>
      </c>
    </row>
    <row r="1148" spans="2:11" x14ac:dyDescent="0.25">
      <c r="B1148" s="263">
        <v>46080</v>
      </c>
      <c r="C1148" s="162">
        <v>6878.88</v>
      </c>
      <c r="D1148" s="94">
        <f t="shared" si="51"/>
        <v>-4.3393555521460403E-3</v>
      </c>
      <c r="F1148" s="161">
        <v>1854.79</v>
      </c>
      <c r="G1148" s="94">
        <f t="shared" si="52"/>
        <v>3.5056683961287582E-4</v>
      </c>
      <c r="J1148" s="264">
        <v>259.51</v>
      </c>
      <c r="K1148" s="94">
        <f t="shared" si="53"/>
        <v>-4.5919117647058805E-2</v>
      </c>
    </row>
    <row r="1149" spans="2:11" x14ac:dyDescent="0.25">
      <c r="B1149" s="263">
        <v>46083</v>
      </c>
      <c r="C1149" s="162">
        <v>6881.62</v>
      </c>
      <c r="D1149" s="94">
        <f t="shared" si="51"/>
        <v>3.9832065685119211E-4</v>
      </c>
      <c r="F1149" s="161">
        <v>1834.67</v>
      </c>
      <c r="G1149" s="94">
        <f t="shared" si="52"/>
        <v>-1.0847589214951547E-2</v>
      </c>
      <c r="J1149" s="264">
        <v>240.2</v>
      </c>
      <c r="K1149" s="94">
        <f t="shared" si="53"/>
        <v>-7.4409463989826952E-2</v>
      </c>
    </row>
    <row r="1150" spans="2:11" x14ac:dyDescent="0.25">
      <c r="B1150" s="263">
        <v>46084</v>
      </c>
      <c r="C1150" s="162">
        <v>6816.63</v>
      </c>
      <c r="D1150" s="94">
        <f t="shared" si="51"/>
        <v>-9.4439971983341087E-3</v>
      </c>
      <c r="F1150" s="161">
        <v>1818.86</v>
      </c>
      <c r="G1150" s="94">
        <f t="shared" si="52"/>
        <v>-8.6173535295176462E-3</v>
      </c>
      <c r="J1150" s="264">
        <v>247.21</v>
      </c>
      <c r="K1150" s="94">
        <f t="shared" si="53"/>
        <v>2.9184013322231639E-2</v>
      </c>
    </row>
    <row r="1151" spans="2:11" x14ac:dyDescent="0.25">
      <c r="B1151" s="263">
        <v>46085</v>
      </c>
      <c r="C1151" s="162">
        <v>6869.5</v>
      </c>
      <c r="D1151" s="94">
        <f t="shared" si="51"/>
        <v>7.7560319395360011E-3</v>
      </c>
      <c r="F1151" s="161">
        <v>1859.69</v>
      </c>
      <c r="G1151" s="94">
        <f t="shared" si="52"/>
        <v>2.2448126848685579E-2</v>
      </c>
      <c r="J1151" s="264">
        <v>239.34</v>
      </c>
      <c r="K1151" s="94">
        <f t="shared" si="53"/>
        <v>-3.1835281744265975E-2</v>
      </c>
    </row>
    <row r="1152" spans="2:11" x14ac:dyDescent="0.25">
      <c r="B1152" s="263">
        <v>46086</v>
      </c>
      <c r="C1152" s="162">
        <v>6830.71</v>
      </c>
      <c r="D1152" s="94">
        <f t="shared" si="51"/>
        <v>-5.6466991775238062E-3</v>
      </c>
      <c r="F1152" s="161">
        <v>1864.52</v>
      </c>
      <c r="G1152" s="94">
        <f t="shared" si="52"/>
        <v>2.5972070613919929E-3</v>
      </c>
      <c r="J1152" s="264">
        <v>236.34</v>
      </c>
      <c r="K1152" s="94">
        <f t="shared" si="53"/>
        <v>-1.2534469791927849E-2</v>
      </c>
    </row>
    <row r="1153" spans="2:11" x14ac:dyDescent="0.25">
      <c r="B1153" s="263">
        <v>46087</v>
      </c>
      <c r="C1153" s="162">
        <v>6740.02</v>
      </c>
      <c r="D1153" s="94">
        <f t="shared" si="51"/>
        <v>-1.3276804314631963E-2</v>
      </c>
      <c r="F1153" s="161">
        <v>1828</v>
      </c>
      <c r="G1153" s="94">
        <f t="shared" si="52"/>
        <v>-1.9586810546414091E-2</v>
      </c>
      <c r="J1153" s="264">
        <v>229.17</v>
      </c>
      <c r="K1153" s="94">
        <f t="shared" si="53"/>
        <v>-3.033764914953041E-2</v>
      </c>
    </row>
    <row r="1154" spans="2:11" x14ac:dyDescent="0.25">
      <c r="B1154" s="263">
        <v>46090</v>
      </c>
      <c r="C1154" s="162">
        <v>6795.99</v>
      </c>
      <c r="D1154" s="94">
        <f t="shared" si="51"/>
        <v>8.3041296613362015E-3</v>
      </c>
      <c r="F1154" s="161">
        <v>1830.1</v>
      </c>
      <c r="G1154" s="94">
        <f t="shared" si="52"/>
        <v>1.1487964989058685E-3</v>
      </c>
      <c r="J1154" s="264">
        <v>224.28</v>
      </c>
      <c r="K1154" s="94">
        <f t="shared" si="53"/>
        <v>-2.1337871449142454E-2</v>
      </c>
    </row>
    <row r="1155" spans="2:11" x14ac:dyDescent="0.25">
      <c r="B1155" s="263">
        <v>46091</v>
      </c>
      <c r="C1155" s="162">
        <v>6781.48</v>
      </c>
      <c r="D1155" s="94">
        <f t="shared" si="51"/>
        <v>-2.1350826001804712E-3</v>
      </c>
      <c r="F1155" s="161">
        <v>1829.99</v>
      </c>
      <c r="G1155" s="94">
        <f t="shared" si="52"/>
        <v>-6.0106005136284502E-5</v>
      </c>
      <c r="J1155" s="264">
        <v>217.37</v>
      </c>
      <c r="K1155" s="94">
        <f t="shared" si="53"/>
        <v>-3.0809702158016705E-2</v>
      </c>
    </row>
    <row r="1156" spans="2:11" x14ac:dyDescent="0.25">
      <c r="B1156" s="263">
        <v>46092</v>
      </c>
      <c r="C1156" s="162">
        <v>6775.8</v>
      </c>
      <c r="D1156" s="94">
        <f t="shared" si="51"/>
        <v>-8.3757527855266023E-4</v>
      </c>
      <c r="F1156" s="161">
        <v>1825.06</v>
      </c>
      <c r="G1156" s="94">
        <f t="shared" si="52"/>
        <v>-2.6940037923705029E-3</v>
      </c>
      <c r="J1156" s="264">
        <v>208.66</v>
      </c>
      <c r="K1156" s="94">
        <f t="shared" si="53"/>
        <v>-4.0069926852831617E-2</v>
      </c>
    </row>
    <row r="1157" spans="2:11" x14ac:dyDescent="0.25">
      <c r="B1157" s="263">
        <v>46093</v>
      </c>
      <c r="C1157" s="162">
        <v>6672.62</v>
      </c>
      <c r="D1157" s="94">
        <f t="shared" si="51"/>
        <v>-1.5227722187786008E-2</v>
      </c>
      <c r="F1157" s="161">
        <v>1784.8</v>
      </c>
      <c r="G1157" s="94">
        <f t="shared" si="52"/>
        <v>-2.205954872716509E-2</v>
      </c>
      <c r="J1157" s="264">
        <v>193.11</v>
      </c>
      <c r="K1157" s="94">
        <f t="shared" si="53"/>
        <v>-7.4523147704399384E-2</v>
      </c>
    </row>
    <row r="1158" spans="2:11" x14ac:dyDescent="0.25">
      <c r="B1158" s="263">
        <v>46094</v>
      </c>
      <c r="C1158" s="162">
        <v>6632.19</v>
      </c>
      <c r="D1158" s="94">
        <f t="shared" si="51"/>
        <v>-6.0590892333146629E-3</v>
      </c>
      <c r="F1158" s="161">
        <v>1773.2</v>
      </c>
      <c r="G1158" s="94">
        <f t="shared" si="52"/>
        <v>-6.499327655759668E-3</v>
      </c>
      <c r="J1158" s="264">
        <v>203.44</v>
      </c>
      <c r="K1158" s="94">
        <f t="shared" si="53"/>
        <v>5.3492827921909791E-2</v>
      </c>
    </row>
    <row r="1159" spans="2:11" x14ac:dyDescent="0.25">
      <c r="B1159" s="263">
        <v>46097</v>
      </c>
      <c r="C1159" s="162">
        <v>6699.38</v>
      </c>
      <c r="D1159" s="94">
        <f t="shared" si="51"/>
        <v>1.0130891907499606E-2</v>
      </c>
      <c r="F1159" s="161">
        <v>1796.89</v>
      </c>
      <c r="G1159" s="94">
        <f t="shared" si="52"/>
        <v>1.3360027069704516E-2</v>
      </c>
      <c r="J1159" s="264">
        <v>199.22</v>
      </c>
      <c r="K1159" s="94">
        <f t="shared" si="53"/>
        <v>-2.0743216673220655E-2</v>
      </c>
    </row>
    <row r="1160" spans="2:11" x14ac:dyDescent="0.25">
      <c r="B1160" s="263">
        <v>46098</v>
      </c>
      <c r="C1160" s="162">
        <v>6716.09</v>
      </c>
      <c r="D1160" s="94">
        <f t="shared" si="51"/>
        <v>2.494260662927017E-3</v>
      </c>
      <c r="F1160" s="161">
        <v>1814.78</v>
      </c>
      <c r="G1160" s="94">
        <f t="shared" si="52"/>
        <v>9.9560908013289762E-3</v>
      </c>
      <c r="J1160" s="264">
        <v>198.08</v>
      </c>
      <c r="K1160" s="94">
        <f t="shared" si="53"/>
        <v>-5.7223170364421039E-3</v>
      </c>
    </row>
    <row r="1161" spans="2:11" x14ac:dyDescent="0.25">
      <c r="B1161" s="263">
        <v>46099</v>
      </c>
      <c r="C1161" s="162">
        <v>6624.7</v>
      </c>
      <c r="D1161" s="94">
        <f t="shared" ref="D1161:D1224" si="54">C1161/C1160-1</f>
        <v>-1.3607619909798752E-2</v>
      </c>
      <c r="F1161" s="161">
        <v>1772.74</v>
      </c>
      <c r="G1161" s="94">
        <f t="shared" ref="G1161:G1224" si="55">F1161/F1160-1</f>
        <v>-2.3165342355547236E-2</v>
      </c>
      <c r="J1161" s="264">
        <v>191.17</v>
      </c>
      <c r="K1161" s="94">
        <f t="shared" si="53"/>
        <v>-3.4884894991922599E-2</v>
      </c>
    </row>
    <row r="1162" spans="2:11" x14ac:dyDescent="0.25">
      <c r="B1162" s="263">
        <v>46100</v>
      </c>
      <c r="C1162" s="162">
        <v>6606.49</v>
      </c>
      <c r="D1162" s="94">
        <f t="shared" si="54"/>
        <v>-2.7488037194136616E-3</v>
      </c>
      <c r="F1162" s="161">
        <v>1757.38</v>
      </c>
      <c r="G1162" s="94">
        <f t="shared" si="55"/>
        <v>-8.6645531775668694E-3</v>
      </c>
      <c r="J1162" s="264">
        <v>187.29</v>
      </c>
      <c r="K1162" s="94">
        <f t="shared" ref="K1162:K1225" si="56">J1162/J1161-1</f>
        <v>-2.0296071559345097E-2</v>
      </c>
    </row>
    <row r="1163" spans="2:11" x14ac:dyDescent="0.25">
      <c r="B1163" s="263">
        <v>46101</v>
      </c>
      <c r="C1163" s="162">
        <v>6506.48</v>
      </c>
      <c r="D1163" s="94">
        <f t="shared" si="54"/>
        <v>-1.5138144460977054E-2</v>
      </c>
      <c r="F1163" s="161">
        <v>1724.69</v>
      </c>
      <c r="G1163" s="94">
        <f t="shared" si="55"/>
        <v>-1.8601554586941904E-2</v>
      </c>
      <c r="J1163" s="264">
        <v>187.79</v>
      </c>
      <c r="K1163" s="94">
        <f t="shared" si="56"/>
        <v>2.6696566821506895E-3</v>
      </c>
    </row>
    <row r="1164" spans="2:11" x14ac:dyDescent="0.25">
      <c r="B1164" s="263">
        <v>46104</v>
      </c>
      <c r="C1164" s="162">
        <v>6581</v>
      </c>
      <c r="D1164" s="94">
        <f t="shared" si="54"/>
        <v>1.1453197427795159E-2</v>
      </c>
      <c r="F1164" s="161">
        <v>1767.17</v>
      </c>
      <c r="G1164" s="94">
        <f t="shared" si="55"/>
        <v>2.463051330963828E-2</v>
      </c>
      <c r="J1164" s="264">
        <v>183.24</v>
      </c>
      <c r="K1164" s="94">
        <f t="shared" si="56"/>
        <v>-2.4229192182757209E-2</v>
      </c>
    </row>
    <row r="1165" spans="2:11" x14ac:dyDescent="0.25">
      <c r="B1165" s="263">
        <v>46105</v>
      </c>
      <c r="C1165" s="162">
        <v>6556.37</v>
      </c>
      <c r="D1165" s="94">
        <f t="shared" si="54"/>
        <v>-3.742592311198889E-3</v>
      </c>
      <c r="F1165" s="161">
        <v>1757.55</v>
      </c>
      <c r="G1165" s="94">
        <f t="shared" si="55"/>
        <v>-5.4437320687880097E-3</v>
      </c>
      <c r="J1165" s="264">
        <v>172.07</v>
      </c>
      <c r="K1165" s="94">
        <f t="shared" si="56"/>
        <v>-6.0958306046714816E-2</v>
      </c>
    </row>
    <row r="1166" spans="2:11" x14ac:dyDescent="0.25">
      <c r="B1166" s="263">
        <v>46106</v>
      </c>
      <c r="C1166" s="162">
        <v>6591.9</v>
      </c>
      <c r="D1166" s="94">
        <f t="shared" si="54"/>
        <v>5.4191572470740912E-3</v>
      </c>
      <c r="F1166" s="161">
        <v>1778.33</v>
      </c>
      <c r="G1166" s="94">
        <f t="shared" si="55"/>
        <v>1.1823276720434706E-2</v>
      </c>
      <c r="J1166" s="264">
        <v>166.31</v>
      </c>
      <c r="K1166" s="94">
        <f t="shared" si="56"/>
        <v>-3.3474748648805619E-2</v>
      </c>
    </row>
    <row r="1167" spans="2:11" x14ac:dyDescent="0.25">
      <c r="B1167" s="263">
        <v>46107</v>
      </c>
      <c r="C1167" s="162">
        <v>6477.16</v>
      </c>
      <c r="D1167" s="94">
        <f t="shared" si="54"/>
        <v>-1.7406210652467391E-2</v>
      </c>
      <c r="F1167" s="161">
        <v>1745.05</v>
      </c>
      <c r="G1167" s="94">
        <f t="shared" si="55"/>
        <v>-1.8714186905692376E-2</v>
      </c>
      <c r="J1167" s="264">
        <v>155.66999999999999</v>
      </c>
      <c r="K1167" s="94">
        <f t="shared" si="56"/>
        <v>-6.3976910588659841E-2</v>
      </c>
    </row>
    <row r="1168" spans="2:11" x14ac:dyDescent="0.25">
      <c r="B1168" s="263">
        <v>46108</v>
      </c>
      <c r="C1168" s="162">
        <v>6368.85</v>
      </c>
      <c r="D1168" s="94">
        <f t="shared" si="54"/>
        <v>-1.6721834878249076E-2</v>
      </c>
      <c r="F1168" s="161">
        <v>1691.83</v>
      </c>
      <c r="G1168" s="94">
        <f t="shared" si="55"/>
        <v>-3.0497693475831644E-2</v>
      </c>
      <c r="J1168" s="264">
        <v>154.46</v>
      </c>
      <c r="K1168" s="94">
        <f t="shared" si="56"/>
        <v>-7.7728528297037469E-3</v>
      </c>
    </row>
    <row r="1169" spans="2:11" x14ac:dyDescent="0.25">
      <c r="B1169" s="263">
        <v>46111</v>
      </c>
      <c r="C1169" s="162">
        <v>6343.72</v>
      </c>
      <c r="D1169" s="94">
        <f t="shared" si="54"/>
        <v>-3.9457672892280193E-3</v>
      </c>
      <c r="F1169" s="161">
        <v>1692.76</v>
      </c>
      <c r="G1169" s="94">
        <f t="shared" si="55"/>
        <v>5.4970062003878439E-4</v>
      </c>
      <c r="J1169" s="264">
        <v>154.63999999999999</v>
      </c>
      <c r="K1169" s="94">
        <f t="shared" si="56"/>
        <v>1.1653502524924253E-3</v>
      </c>
    </row>
    <row r="1170" spans="2:11" x14ac:dyDescent="0.25">
      <c r="B1170" s="263">
        <v>46112</v>
      </c>
      <c r="C1170" s="162">
        <v>6528.52</v>
      </c>
      <c r="D1170" s="94">
        <f t="shared" si="54"/>
        <v>2.9131172245937753E-2</v>
      </c>
      <c r="F1170" s="161">
        <v>1748.22</v>
      </c>
      <c r="G1170" s="94">
        <f t="shared" si="55"/>
        <v>3.2763061509014868E-2</v>
      </c>
      <c r="J1170" s="264">
        <v>154.97</v>
      </c>
      <c r="K1170" s="94">
        <f t="shared" si="56"/>
        <v>2.1339886187274892E-3</v>
      </c>
    </row>
    <row r="1171" spans="2:11" x14ac:dyDescent="0.25">
      <c r="B1171" s="263">
        <v>46113</v>
      </c>
      <c r="C1171" s="162">
        <v>6575.32</v>
      </c>
      <c r="D1171" s="94">
        <f t="shared" si="54"/>
        <v>7.1685466231241612E-3</v>
      </c>
      <c r="F1171" s="161">
        <v>1764.3</v>
      </c>
      <c r="G1171" s="94">
        <f t="shared" si="55"/>
        <v>9.197927034354958E-3</v>
      </c>
      <c r="J1171" s="264">
        <v>144.87</v>
      </c>
      <c r="K1171" s="94">
        <f t="shared" si="56"/>
        <v>-6.5173904626701917E-2</v>
      </c>
    </row>
    <row r="1172" spans="2:11" x14ac:dyDescent="0.25">
      <c r="B1172" s="263">
        <v>46114</v>
      </c>
      <c r="C1172" s="162">
        <v>6582.69</v>
      </c>
      <c r="D1172" s="94">
        <f t="shared" si="54"/>
        <v>1.1208579962647125E-3</v>
      </c>
      <c r="F1172" s="161">
        <v>1738.02</v>
      </c>
      <c r="G1172" s="94">
        <f t="shared" si="55"/>
        <v>-1.4895425947968E-2</v>
      </c>
      <c r="J1172" s="264">
        <v>152.51</v>
      </c>
      <c r="K1172" s="94">
        <f t="shared" si="56"/>
        <v>5.2736936563815728E-2</v>
      </c>
    </row>
    <row r="1173" spans="2:11" x14ac:dyDescent="0.25">
      <c r="B1173" s="263">
        <v>46118</v>
      </c>
      <c r="C1173" s="162">
        <v>6611.83</v>
      </c>
      <c r="D1173" s="94">
        <f t="shared" si="54"/>
        <v>4.4267617038020735E-3</v>
      </c>
      <c r="F1173" s="161">
        <v>1751.95</v>
      </c>
      <c r="G1173" s="94">
        <f t="shared" si="55"/>
        <v>8.014867492894151E-3</v>
      </c>
      <c r="J1173" s="264">
        <v>164.83</v>
      </c>
      <c r="K1173" s="94">
        <f t="shared" si="56"/>
        <v>8.0781588092584178E-2</v>
      </c>
    </row>
    <row r="1174" spans="2:11" x14ac:dyDescent="0.25">
      <c r="B1174" s="263">
        <v>46119</v>
      </c>
      <c r="C1174" s="162">
        <v>6616.85</v>
      </c>
      <c r="D1174" s="94">
        <f t="shared" si="54"/>
        <v>7.5924517115533163E-4</v>
      </c>
      <c r="F1174" s="161">
        <v>1736.03</v>
      </c>
      <c r="G1174" s="94">
        <f t="shared" si="55"/>
        <v>-9.0870173235537699E-3</v>
      </c>
      <c r="J1174" s="264">
        <v>166.04</v>
      </c>
      <c r="K1174" s="94">
        <f t="shared" si="56"/>
        <v>7.340896681429232E-3</v>
      </c>
    </row>
    <row r="1175" spans="2:11" x14ac:dyDescent="0.25">
      <c r="B1175" s="263">
        <v>46120</v>
      </c>
      <c r="C1175" s="162">
        <v>6782.81</v>
      </c>
      <c r="D1175" s="94">
        <f t="shared" si="54"/>
        <v>2.5081420917808295E-2</v>
      </c>
      <c r="F1175" s="161">
        <v>1785.02</v>
      </c>
      <c r="G1175" s="94">
        <f t="shared" si="55"/>
        <v>2.8219558417769353E-2</v>
      </c>
      <c r="J1175" s="264">
        <v>168.53</v>
      </c>
      <c r="K1175" s="94">
        <f t="shared" si="56"/>
        <v>1.4996386412912566E-2</v>
      </c>
    </row>
    <row r="1176" spans="2:11" x14ac:dyDescent="0.25">
      <c r="B1176" s="263">
        <v>46121</v>
      </c>
      <c r="C1176" s="162">
        <v>6824.66</v>
      </c>
      <c r="D1176" s="94">
        <f t="shared" si="54"/>
        <v>6.1700091849836713E-3</v>
      </c>
      <c r="F1176" s="161">
        <v>1829</v>
      </c>
      <c r="G1176" s="94">
        <f t="shared" si="55"/>
        <v>2.4638379401911381E-2</v>
      </c>
      <c r="J1176" s="264">
        <v>179.05</v>
      </c>
      <c r="K1176" s="94">
        <f t="shared" si="56"/>
        <v>6.2422120690678318E-2</v>
      </c>
    </row>
    <row r="1177" spans="2:11" x14ac:dyDescent="0.25">
      <c r="B1177" s="263">
        <v>46122</v>
      </c>
      <c r="C1177" s="162">
        <v>6816.89</v>
      </c>
      <c r="D1177" s="94">
        <f t="shared" si="54"/>
        <v>-1.138518255854426E-3</v>
      </c>
      <c r="F1177" s="161">
        <v>1838.98</v>
      </c>
      <c r="G1177" s="94">
        <f t="shared" si="55"/>
        <v>5.4565336249317031E-3</v>
      </c>
      <c r="J1177" s="264">
        <v>179.89</v>
      </c>
      <c r="K1177" s="94">
        <f t="shared" si="56"/>
        <v>4.6914269757050153E-3</v>
      </c>
    </row>
    <row r="1178" spans="2:11" x14ac:dyDescent="0.25">
      <c r="B1178" s="263">
        <v>46125</v>
      </c>
      <c r="C1178" s="162">
        <v>6886.24</v>
      </c>
      <c r="D1178" s="94">
        <f t="shared" si="54"/>
        <v>1.0173260827151198E-2</v>
      </c>
      <c r="F1178" s="161">
        <v>1854.68</v>
      </c>
      <c r="G1178" s="94">
        <f t="shared" si="55"/>
        <v>8.5373413522713548E-3</v>
      </c>
      <c r="J1178" s="264">
        <v>186.31</v>
      </c>
      <c r="K1178" s="94">
        <f t="shared" si="56"/>
        <v>3.5688476291066751E-2</v>
      </c>
    </row>
    <row r="1179" spans="2:11" x14ac:dyDescent="0.25">
      <c r="B1179" s="263">
        <v>46126</v>
      </c>
      <c r="C1179" s="162">
        <v>6967.38</v>
      </c>
      <c r="D1179" s="94">
        <f t="shared" si="54"/>
        <v>1.1782917818722538E-2</v>
      </c>
      <c r="F1179" s="161">
        <v>1901.85</v>
      </c>
      <c r="G1179" s="94">
        <f t="shared" si="55"/>
        <v>2.5432958785343018E-2</v>
      </c>
      <c r="J1179" s="264">
        <v>198.08</v>
      </c>
      <c r="K1179" s="94">
        <f t="shared" si="56"/>
        <v>6.3174279426761792E-2</v>
      </c>
    </row>
    <row r="1180" spans="2:11" x14ac:dyDescent="0.25">
      <c r="B1180" s="263">
        <v>46127</v>
      </c>
      <c r="C1180" s="162">
        <v>7022.95</v>
      </c>
      <c r="D1180" s="94">
        <f t="shared" si="54"/>
        <v>7.9757383693725981E-3</v>
      </c>
      <c r="F1180" s="161">
        <v>1927.84</v>
      </c>
      <c r="G1180" s="94">
        <f t="shared" si="55"/>
        <v>1.3665641349212665E-2</v>
      </c>
      <c r="J1180" s="264">
        <v>191.4</v>
      </c>
      <c r="K1180" s="94">
        <f t="shared" si="56"/>
        <v>-3.372374798061395E-2</v>
      </c>
    </row>
    <row r="1181" spans="2:11" x14ac:dyDescent="0.25">
      <c r="B1181" s="263">
        <v>46128</v>
      </c>
      <c r="C1181" s="162">
        <v>7041.28</v>
      </c>
      <c r="D1181" s="94">
        <f t="shared" si="54"/>
        <v>2.6100143102256723E-3</v>
      </c>
      <c r="F1181" s="161">
        <v>1923.13</v>
      </c>
      <c r="G1181" s="94">
        <f t="shared" si="55"/>
        <v>-2.4431488090297382E-3</v>
      </c>
      <c r="J1181" s="264">
        <v>186.05</v>
      </c>
      <c r="K1181" s="94">
        <f t="shared" si="56"/>
        <v>-2.7951933124346851E-2</v>
      </c>
    </row>
    <row r="1182" spans="2:11" x14ac:dyDescent="0.25">
      <c r="B1182" s="263">
        <v>46129</v>
      </c>
      <c r="C1182" s="162">
        <v>7126.06</v>
      </c>
      <c r="D1182" s="94">
        <f t="shared" si="54"/>
        <v>1.2040424468278577E-2</v>
      </c>
      <c r="F1182" s="161">
        <v>1961</v>
      </c>
      <c r="G1182" s="94">
        <f t="shared" si="55"/>
        <v>1.9691856504760352E-2</v>
      </c>
      <c r="J1182" s="264">
        <v>196.34</v>
      </c>
      <c r="K1182" s="94">
        <f t="shared" si="56"/>
        <v>5.5307712980381618E-2</v>
      </c>
    </row>
    <row r="1183" spans="2:11" x14ac:dyDescent="0.25">
      <c r="B1183" s="263">
        <v>46132</v>
      </c>
      <c r="C1183" s="162">
        <v>7109.14</v>
      </c>
      <c r="D1183" s="94">
        <f t="shared" si="54"/>
        <v>-2.3743836004749275E-3</v>
      </c>
      <c r="F1183" s="161">
        <v>1948.26</v>
      </c>
      <c r="G1183" s="94">
        <f t="shared" si="55"/>
        <v>-6.4966853646098999E-3</v>
      </c>
      <c r="J1183" s="264">
        <v>199.03</v>
      </c>
      <c r="K1183" s="94">
        <f t="shared" si="56"/>
        <v>1.3700723235204215E-2</v>
      </c>
    </row>
    <row r="1184" spans="2:11" x14ac:dyDescent="0.25">
      <c r="B1184" s="263">
        <v>46133</v>
      </c>
      <c r="C1184" s="162">
        <v>7064.01</v>
      </c>
      <c r="D1184" s="94">
        <f t="shared" si="54"/>
        <v>-6.3481658822305276E-3</v>
      </c>
      <c r="F1184" s="161">
        <v>1938.64</v>
      </c>
      <c r="G1184" s="94">
        <f t="shared" si="55"/>
        <v>-4.9377393161076366E-3</v>
      </c>
      <c r="J1184" s="264">
        <v>189.19</v>
      </c>
      <c r="K1184" s="94">
        <f t="shared" si="56"/>
        <v>-4.9439782947294342E-2</v>
      </c>
    </row>
    <row r="1185" spans="2:11" x14ac:dyDescent="0.25">
      <c r="B1185" s="263">
        <v>46134</v>
      </c>
      <c r="C1185" s="162">
        <v>7137.9</v>
      </c>
      <c r="D1185" s="94">
        <f t="shared" si="54"/>
        <v>1.0460064467632257E-2</v>
      </c>
      <c r="F1185" s="161">
        <v>1947.19</v>
      </c>
      <c r="G1185" s="94">
        <f t="shared" si="55"/>
        <v>4.4103082573350161E-3</v>
      </c>
      <c r="J1185" s="264">
        <v>190</v>
      </c>
      <c r="K1185" s="94">
        <f t="shared" si="56"/>
        <v>4.281410222527704E-3</v>
      </c>
    </row>
    <row r="1186" spans="2:11" x14ac:dyDescent="0.25">
      <c r="B1186" s="263">
        <v>46135</v>
      </c>
      <c r="C1186" s="162">
        <v>7108.4</v>
      </c>
      <c r="D1186" s="94">
        <f t="shared" si="54"/>
        <v>-4.1328682105381542E-3</v>
      </c>
      <c r="F1186" s="161">
        <v>1929.02</v>
      </c>
      <c r="G1186" s="94">
        <f t="shared" si="55"/>
        <v>-9.3313954981281144E-3</v>
      </c>
      <c r="J1186" s="264">
        <v>186.74</v>
      </c>
      <c r="K1186" s="94">
        <f t="shared" si="56"/>
        <v>-1.7157894736842039E-2</v>
      </c>
    </row>
    <row r="1187" spans="2:11" x14ac:dyDescent="0.25">
      <c r="B1187" s="263">
        <v>46136</v>
      </c>
      <c r="C1187" s="162">
        <v>7165.08</v>
      </c>
      <c r="D1187" s="94">
        <f t="shared" si="54"/>
        <v>7.9736649597659248E-3</v>
      </c>
      <c r="F1187" s="161">
        <v>1955.27</v>
      </c>
      <c r="G1187" s="94">
        <f t="shared" si="55"/>
        <v>1.3607946003670213E-2</v>
      </c>
      <c r="J1187" s="264">
        <v>189.37</v>
      </c>
      <c r="K1187" s="94">
        <f t="shared" si="56"/>
        <v>1.4083752811395511E-2</v>
      </c>
    </row>
    <row r="1188" spans="2:11" x14ac:dyDescent="0.25">
      <c r="B1188" s="263">
        <v>46139</v>
      </c>
      <c r="C1188" s="162">
        <v>7173.91</v>
      </c>
      <c r="D1188" s="94">
        <f t="shared" si="54"/>
        <v>1.2323658633259793E-3</v>
      </c>
      <c r="F1188" s="161">
        <v>1940.35</v>
      </c>
      <c r="G1188" s="94">
        <f t="shared" si="55"/>
        <v>-7.6306597042864466E-3</v>
      </c>
      <c r="J1188" s="264">
        <v>177.73</v>
      </c>
      <c r="K1188" s="94">
        <f t="shared" si="56"/>
        <v>-6.1466969424935347E-2</v>
      </c>
    </row>
    <row r="1189" spans="2:11" x14ac:dyDescent="0.25">
      <c r="B1189" s="263">
        <v>46140</v>
      </c>
      <c r="C1189" s="162">
        <v>7138.8</v>
      </c>
      <c r="D1189" s="94">
        <f t="shared" si="54"/>
        <v>-4.8941232884158747E-3</v>
      </c>
      <c r="F1189" s="161">
        <v>1927.21</v>
      </c>
      <c r="G1189" s="94">
        <f t="shared" si="55"/>
        <v>-6.7719741283788215E-3</v>
      </c>
      <c r="J1189" s="264">
        <v>172.97</v>
      </c>
      <c r="K1189" s="94">
        <f t="shared" si="56"/>
        <v>-2.6782197715636058E-2</v>
      </c>
    </row>
    <row r="1190" spans="2:11" x14ac:dyDescent="0.25">
      <c r="B1190" s="263">
        <v>46141</v>
      </c>
      <c r="C1190" s="162">
        <v>7135.95</v>
      </c>
      <c r="D1190" s="94">
        <f t="shared" si="54"/>
        <v>-3.9922676080017538E-4</v>
      </c>
      <c r="F1190" s="161">
        <v>1929.12</v>
      </c>
      <c r="G1190" s="94">
        <f t="shared" si="55"/>
        <v>9.9106999237230653E-4</v>
      </c>
      <c r="J1190" s="264">
        <v>171.21</v>
      </c>
      <c r="K1190" s="94">
        <f t="shared" si="56"/>
        <v>-1.0175174885818317E-2</v>
      </c>
    </row>
    <row r="1191" spans="2:11" x14ac:dyDescent="0.25">
      <c r="B1191" s="263">
        <v>46142</v>
      </c>
      <c r="C1191" s="162">
        <v>7209.01</v>
      </c>
      <c r="D1191" s="94">
        <f t="shared" si="54"/>
        <v>1.0238300436522074E-2</v>
      </c>
      <c r="F1191" s="161">
        <v>1953.03</v>
      </c>
      <c r="G1191" s="94">
        <f t="shared" si="55"/>
        <v>1.2394252301567654E-2</v>
      </c>
      <c r="J1191" s="264">
        <v>164.06</v>
      </c>
      <c r="K1191" s="94">
        <f t="shared" si="56"/>
        <v>-4.1761579347000755E-2</v>
      </c>
    </row>
    <row r="1192" spans="2:11" x14ac:dyDescent="0.25">
      <c r="B1192" s="263">
        <v>46143</v>
      </c>
      <c r="C1192" s="162">
        <v>7230.12</v>
      </c>
      <c r="D1192" s="94">
        <f t="shared" si="54"/>
        <v>2.9282800273546794E-3</v>
      </c>
      <c r="F1192" s="161">
        <v>1962.95</v>
      </c>
      <c r="G1192" s="94">
        <f t="shared" si="55"/>
        <v>5.0792870565223858E-3</v>
      </c>
      <c r="J1192" s="264">
        <v>160.72999999999999</v>
      </c>
      <c r="K1192" s="94">
        <f t="shared" si="56"/>
        <v>-2.0297452151651907E-2</v>
      </c>
    </row>
    <row r="1193" spans="2:11" x14ac:dyDescent="0.25">
      <c r="B1193" s="263">
        <v>46146</v>
      </c>
      <c r="C1193" s="162">
        <v>7200.75</v>
      </c>
      <c r="D1193" s="94">
        <f t="shared" si="54"/>
        <v>-4.0621732419379164E-3</v>
      </c>
      <c r="F1193" s="161">
        <v>1958.69</v>
      </c>
      <c r="G1193" s="94">
        <f t="shared" si="55"/>
        <v>-2.1702030107746406E-3</v>
      </c>
      <c r="J1193" s="264">
        <v>150.5</v>
      </c>
      <c r="K1193" s="94">
        <f t="shared" si="56"/>
        <v>-6.3647110060349621E-2</v>
      </c>
    </row>
    <row r="1194" spans="2:11" x14ac:dyDescent="0.25">
      <c r="B1194" s="263">
        <v>46147</v>
      </c>
      <c r="C1194" s="162">
        <v>7259.22</v>
      </c>
      <c r="D1194" s="94">
        <f t="shared" si="54"/>
        <v>8.1199875013020506E-3</v>
      </c>
      <c r="F1194" s="161">
        <v>1964.58</v>
      </c>
      <c r="G1194" s="94">
        <f t="shared" si="55"/>
        <v>3.0071118962162746E-3</v>
      </c>
      <c r="J1194" s="264">
        <v>146.74</v>
      </c>
      <c r="K1194" s="94">
        <f t="shared" si="56"/>
        <v>-2.4983388704318932E-2</v>
      </c>
    </row>
    <row r="1195" spans="2:11" x14ac:dyDescent="0.25">
      <c r="B1195" s="263">
        <v>46148</v>
      </c>
      <c r="C1195" s="162">
        <v>7365.12</v>
      </c>
      <c r="D1195" s="94">
        <f t="shared" si="54"/>
        <v>1.4588344202269621E-2</v>
      </c>
      <c r="F1195" s="161">
        <v>1991.5</v>
      </c>
      <c r="G1195" s="94">
        <f t="shared" si="55"/>
        <v>1.3702674362968237E-2</v>
      </c>
      <c r="J1195" s="264">
        <v>145.43</v>
      </c>
      <c r="K1195" s="94">
        <f t="shared" si="56"/>
        <v>-8.927354504565943E-3</v>
      </c>
    </row>
    <row r="1196" spans="2:11" x14ac:dyDescent="0.25">
      <c r="B1196" s="263">
        <v>46149</v>
      </c>
      <c r="C1196" s="162">
        <v>7337.11</v>
      </c>
      <c r="D1196" s="94">
        <f t="shared" si="54"/>
        <v>-3.8030609141467275E-3</v>
      </c>
      <c r="F1196" s="161">
        <v>1987.42</v>
      </c>
      <c r="G1196" s="94">
        <f t="shared" si="55"/>
        <v>-2.0487070047702227E-3</v>
      </c>
      <c r="J1196" s="264">
        <v>134.88</v>
      </c>
      <c r="K1196" s="94">
        <f t="shared" si="56"/>
        <v>-7.2543491714226804E-2</v>
      </c>
    </row>
    <row r="1197" spans="2:11" x14ac:dyDescent="0.25">
      <c r="B1197" s="263">
        <v>46150</v>
      </c>
      <c r="C1197" s="162">
        <v>7398.93</v>
      </c>
      <c r="D1197" s="94">
        <f t="shared" si="54"/>
        <v>8.4256607846959763E-3</v>
      </c>
      <c r="F1197" s="161">
        <v>1997.38</v>
      </c>
      <c r="G1197" s="94">
        <f t="shared" si="55"/>
        <v>5.0115224763764843E-3</v>
      </c>
      <c r="J1197" s="264">
        <v>129.66999999999999</v>
      </c>
      <c r="K1197" s="94">
        <f t="shared" si="56"/>
        <v>-3.8626927639383246E-2</v>
      </c>
    </row>
    <row r="1198" spans="2:11" x14ac:dyDescent="0.25">
      <c r="B1198" s="263">
        <v>46153</v>
      </c>
      <c r="C1198" s="162">
        <v>7412.84</v>
      </c>
      <c r="D1198" s="94">
        <f t="shared" si="54"/>
        <v>1.8800015677942206E-3</v>
      </c>
      <c r="F1198" s="161">
        <v>1984.61</v>
      </c>
      <c r="G1198" s="94">
        <f t="shared" si="55"/>
        <v>-6.3933753216715017E-3</v>
      </c>
      <c r="J1198" s="264">
        <v>127.33</v>
      </c>
      <c r="K1198" s="94">
        <f t="shared" si="56"/>
        <v>-1.8045808591038659E-2</v>
      </c>
    </row>
    <row r="1199" spans="2:11" x14ac:dyDescent="0.25">
      <c r="B1199" s="263">
        <v>46154</v>
      </c>
      <c r="C1199" s="162">
        <v>7400.96</v>
      </c>
      <c r="D1199" s="94">
        <f t="shared" si="54"/>
        <v>-1.6026246350926421E-3</v>
      </c>
      <c r="F1199" s="161">
        <v>1963.6</v>
      </c>
      <c r="G1199" s="94">
        <f t="shared" si="55"/>
        <v>-1.0586462831488341E-2</v>
      </c>
      <c r="J1199" s="264">
        <v>123.73</v>
      </c>
      <c r="K1199" s="94">
        <f t="shared" si="56"/>
        <v>-2.8272991439566408E-2</v>
      </c>
    </row>
    <row r="1200" spans="2:11" x14ac:dyDescent="0.25">
      <c r="B1200" s="263">
        <v>46155</v>
      </c>
      <c r="C1200" s="162">
        <v>7444.25</v>
      </c>
      <c r="D1200" s="94">
        <f t="shared" si="54"/>
        <v>5.8492411795225685E-3</v>
      </c>
      <c r="F1200" s="161">
        <v>1978.34</v>
      </c>
      <c r="G1200" s="94">
        <f t="shared" si="55"/>
        <v>7.506620492972127E-3</v>
      </c>
      <c r="J1200" s="264">
        <v>120.61</v>
      </c>
      <c r="K1200" s="94">
        <f t="shared" si="56"/>
        <v>-2.5216196557019344E-2</v>
      </c>
    </row>
    <row r="1201" spans="2:11" x14ac:dyDescent="0.25">
      <c r="B1201" s="263">
        <v>46156</v>
      </c>
      <c r="C1201" s="162">
        <v>7501.24</v>
      </c>
      <c r="D1201" s="94">
        <f t="shared" si="54"/>
        <v>7.6555730933269839E-3</v>
      </c>
      <c r="F1201" s="161">
        <v>1972.25</v>
      </c>
      <c r="G1201" s="94">
        <f t="shared" si="55"/>
        <v>-3.0783384049253293E-3</v>
      </c>
      <c r="J1201" s="264">
        <v>118.96</v>
      </c>
      <c r="K1201" s="94">
        <f t="shared" si="56"/>
        <v>-1.3680457673493129E-2</v>
      </c>
    </row>
    <row r="1202" spans="2:11" x14ac:dyDescent="0.25">
      <c r="B1202" s="263">
        <v>46157</v>
      </c>
      <c r="C1202" s="162">
        <v>7408.5</v>
      </c>
      <c r="D1202" s="94">
        <f t="shared" si="54"/>
        <v>-1.236328926950736E-2</v>
      </c>
      <c r="F1202" s="161">
        <v>1936.06</v>
      </c>
      <c r="G1202" s="94">
        <f t="shared" si="55"/>
        <v>-1.8349600709849145E-2</v>
      </c>
      <c r="J1202" s="264">
        <v>129.21</v>
      </c>
      <c r="K1202" s="94">
        <f t="shared" si="56"/>
        <v>8.6163416274378068E-2</v>
      </c>
    </row>
    <row r="1203" spans="2:11" x14ac:dyDescent="0.25">
      <c r="B1203" s="263">
        <v>46160</v>
      </c>
      <c r="C1203" s="162">
        <v>7403.05</v>
      </c>
      <c r="D1203" s="94">
        <f t="shared" si="54"/>
        <v>-7.3564149287974612E-4</v>
      </c>
      <c r="F1203" s="161">
        <v>1932.16</v>
      </c>
      <c r="G1203" s="94">
        <f t="shared" si="55"/>
        <v>-2.014400380153436E-3</v>
      </c>
      <c r="J1203" s="264">
        <v>129</v>
      </c>
      <c r="K1203" s="94">
        <f t="shared" si="56"/>
        <v>-1.6252612026933511E-3</v>
      </c>
    </row>
    <row r="1204" spans="2:11" x14ac:dyDescent="0.25">
      <c r="B1204" s="263">
        <v>46161</v>
      </c>
      <c r="C1204" s="162">
        <v>7353.61</v>
      </c>
      <c r="D1204" s="94">
        <f t="shared" si="54"/>
        <v>-6.6783285267559833E-3</v>
      </c>
      <c r="F1204" s="161">
        <v>1906.62</v>
      </c>
      <c r="G1204" s="94">
        <f t="shared" si="55"/>
        <v>-1.321836700894341E-2</v>
      </c>
      <c r="J1204" s="264">
        <v>126.8</v>
      </c>
      <c r="K1204" s="94">
        <f t="shared" si="56"/>
        <v>-1.7054263565891459E-2</v>
      </c>
    </row>
    <row r="1205" spans="2:11" x14ac:dyDescent="0.25">
      <c r="B1205" s="263">
        <v>46162</v>
      </c>
      <c r="C1205" s="162">
        <v>7432.97</v>
      </c>
      <c r="D1205" s="94">
        <f t="shared" si="54"/>
        <v>1.0791978361648358E-2</v>
      </c>
      <c r="F1205" s="161">
        <v>1954.21</v>
      </c>
      <c r="G1205" s="94">
        <f t="shared" si="55"/>
        <v>2.4960401128699017E-2</v>
      </c>
      <c r="J1205" s="264">
        <v>128.13</v>
      </c>
      <c r="K1205" s="94">
        <f t="shared" si="56"/>
        <v>1.0488958990536368E-2</v>
      </c>
    </row>
    <row r="1206" spans="2:11" x14ac:dyDescent="0.25">
      <c r="B1206" s="263">
        <v>46163</v>
      </c>
      <c r="C1206" s="162">
        <v>7445.72</v>
      </c>
      <c r="D1206" s="94">
        <f t="shared" si="54"/>
        <v>1.7153304802790537E-3</v>
      </c>
      <c r="F1206" s="161">
        <v>1969.32</v>
      </c>
      <c r="G1206" s="94">
        <f t="shared" si="55"/>
        <v>7.7320247056353875E-3</v>
      </c>
      <c r="J1206" s="264">
        <v>132.65</v>
      </c>
      <c r="K1206" s="94">
        <f t="shared" si="56"/>
        <v>3.5276672129868292E-2</v>
      </c>
    </row>
    <row r="1207" spans="2:11" x14ac:dyDescent="0.25">
      <c r="B1207" s="263">
        <v>46164</v>
      </c>
      <c r="C1207" s="162">
        <v>7473.47</v>
      </c>
      <c r="D1207" s="94">
        <f t="shared" si="54"/>
        <v>3.7269733484470713E-3</v>
      </c>
      <c r="F1207" s="161">
        <v>1973.32</v>
      </c>
      <c r="G1207" s="94">
        <f t="shared" si="55"/>
        <v>2.0311579631548948E-3</v>
      </c>
      <c r="J1207" s="264">
        <v>140.41</v>
      </c>
      <c r="K1207" s="94">
        <f t="shared" si="56"/>
        <v>5.8499811534112212E-2</v>
      </c>
    </row>
    <row r="1208" spans="2:11" x14ac:dyDescent="0.25">
      <c r="B1208" s="263">
        <v>46168</v>
      </c>
      <c r="C1208" s="162">
        <v>7519.12</v>
      </c>
      <c r="D1208" s="94">
        <f t="shared" si="54"/>
        <v>6.1082736667170678E-3</v>
      </c>
      <c r="F1208" s="161">
        <v>1975.96</v>
      </c>
      <c r="G1208" s="94">
        <f t="shared" si="55"/>
        <v>1.3378468773437291E-3</v>
      </c>
      <c r="J1208" s="264">
        <v>140.63</v>
      </c>
      <c r="K1208" s="94">
        <f t="shared" si="56"/>
        <v>1.5668399686632473E-3</v>
      </c>
    </row>
    <row r="1209" spans="2:11" x14ac:dyDescent="0.25">
      <c r="B1209" s="263">
        <v>46169</v>
      </c>
      <c r="C1209" s="162">
        <v>7520.36</v>
      </c>
      <c r="D1209" s="94">
        <f t="shared" si="54"/>
        <v>1.6491291534115327E-4</v>
      </c>
      <c r="F1209" s="161">
        <v>2013.3</v>
      </c>
      <c r="G1209" s="94">
        <f t="shared" si="55"/>
        <v>1.8897143666875893E-2</v>
      </c>
      <c r="J1209" s="264">
        <v>152.09</v>
      </c>
      <c r="K1209" s="94">
        <f t="shared" si="56"/>
        <v>8.1490435895612556E-2</v>
      </c>
    </row>
    <row r="1210" spans="2:11" x14ac:dyDescent="0.25">
      <c r="B1210" s="263">
        <v>46170</v>
      </c>
      <c r="C1210" s="162">
        <v>7563.63</v>
      </c>
      <c r="D1210" s="94">
        <f t="shared" si="54"/>
        <v>5.7537139179508756E-3</v>
      </c>
      <c r="F1210" s="161">
        <v>2024.18</v>
      </c>
      <c r="G1210" s="94">
        <f t="shared" si="55"/>
        <v>5.4040629811751284E-3</v>
      </c>
      <c r="J1210" s="264">
        <v>157.61000000000001</v>
      </c>
      <c r="K1210" s="94">
        <f t="shared" si="56"/>
        <v>3.6294299427970245E-2</v>
      </c>
    </row>
    <row r="1211" spans="2:11" x14ac:dyDescent="0.25">
      <c r="B1211" s="263">
        <v>46171</v>
      </c>
      <c r="C1211" s="162">
        <v>7580.06</v>
      </c>
      <c r="D1211" s="94">
        <f t="shared" si="54"/>
        <v>2.1722374045267667E-3</v>
      </c>
      <c r="F1211" s="161">
        <v>2002.94</v>
      </c>
      <c r="G1211" s="94">
        <f t="shared" si="55"/>
        <v>-1.049313796203899E-2</v>
      </c>
      <c r="J1211" s="264">
        <v>156.96</v>
      </c>
      <c r="K1211" s="94">
        <f t="shared" si="56"/>
        <v>-4.1241038005203068E-3</v>
      </c>
    </row>
    <row r="1212" spans="2:11" x14ac:dyDescent="0.25">
      <c r="B1212" s="263">
        <v>46174</v>
      </c>
      <c r="C1212" s="162">
        <v>7599.96</v>
      </c>
      <c r="D1212" s="94">
        <f t="shared" si="54"/>
        <v>2.6253090344929841E-3</v>
      </c>
      <c r="F1212" s="161">
        <v>1950.45</v>
      </c>
      <c r="G1212" s="94">
        <f t="shared" si="55"/>
        <v>-2.620647647957508E-2</v>
      </c>
      <c r="J1212" s="264">
        <v>158.16</v>
      </c>
      <c r="K1212" s="94">
        <f t="shared" si="56"/>
        <v>7.6452599388379117E-3</v>
      </c>
    </row>
    <row r="1213" spans="2:11" x14ac:dyDescent="0.25">
      <c r="B1213" s="263">
        <v>46175</v>
      </c>
      <c r="C1213" s="162">
        <v>7609.78</v>
      </c>
      <c r="D1213" s="94">
        <f t="shared" si="54"/>
        <v>1.2921120637476857E-3</v>
      </c>
      <c r="F1213" s="161">
        <v>1936.56</v>
      </c>
      <c r="G1213" s="94">
        <f t="shared" si="55"/>
        <v>-7.1214335153426678E-3</v>
      </c>
      <c r="J1213" s="264">
        <v>151</v>
      </c>
      <c r="K1213" s="94">
        <f t="shared" si="56"/>
        <v>-4.5270612038442071E-2</v>
      </c>
    </row>
    <row r="1214" spans="2:11" x14ac:dyDescent="0.25">
      <c r="B1214" s="263">
        <v>46176</v>
      </c>
      <c r="C1214" s="162">
        <v>7553.68</v>
      </c>
      <c r="D1214" s="94">
        <f t="shared" si="54"/>
        <v>-7.3720922286846235E-3</v>
      </c>
      <c r="F1214" s="161">
        <v>1915.77</v>
      </c>
      <c r="G1214" s="94">
        <f t="shared" si="55"/>
        <v>-1.0735531044739122E-2</v>
      </c>
      <c r="J1214" s="264">
        <v>144.05000000000001</v>
      </c>
      <c r="K1214" s="94">
        <f t="shared" si="56"/>
        <v>-4.6026490066225056E-2</v>
      </c>
    </row>
    <row r="1215" spans="2:11" x14ac:dyDescent="0.25">
      <c r="B1215" s="263">
        <v>46177</v>
      </c>
      <c r="C1215" s="162">
        <v>7584.31</v>
      </c>
      <c r="D1215" s="94">
        <f t="shared" si="54"/>
        <v>4.0549771766873466E-3</v>
      </c>
      <c r="F1215" s="161">
        <v>1925.74</v>
      </c>
      <c r="G1215" s="94">
        <f t="shared" si="55"/>
        <v>5.2041737786894249E-3</v>
      </c>
      <c r="J1215" s="264">
        <v>144.47999999999999</v>
      </c>
      <c r="K1215" s="94">
        <f t="shared" si="56"/>
        <v>2.9850746268655914E-3</v>
      </c>
    </row>
    <row r="1216" spans="2:11" x14ac:dyDescent="0.25">
      <c r="B1216" s="263">
        <v>46178</v>
      </c>
      <c r="C1216" s="162">
        <v>7383.74</v>
      </c>
      <c r="D1216" s="94">
        <f t="shared" si="54"/>
        <v>-2.6445385275654654E-2</v>
      </c>
      <c r="F1216" s="161">
        <v>1878.85</v>
      </c>
      <c r="G1216" s="94">
        <f t="shared" si="55"/>
        <v>-2.4349081392088245E-2</v>
      </c>
      <c r="J1216" s="264">
        <v>142.22999999999999</v>
      </c>
      <c r="K1216" s="94">
        <f t="shared" si="56"/>
        <v>-1.557308970099669E-2</v>
      </c>
    </row>
    <row r="1217" spans="2:11" x14ac:dyDescent="0.25">
      <c r="B1217" s="263">
        <v>46181</v>
      </c>
      <c r="C1217" s="162">
        <v>7405.73</v>
      </c>
      <c r="D1217" s="94">
        <f t="shared" si="54"/>
        <v>2.9781655367062676E-3</v>
      </c>
      <c r="F1217" s="161">
        <v>1888.13</v>
      </c>
      <c r="G1217" s="94">
        <f t="shared" si="55"/>
        <v>4.9391915267318343E-3</v>
      </c>
      <c r="J1217" s="264">
        <v>143.44999999999999</v>
      </c>
      <c r="K1217" s="94">
        <f t="shared" si="56"/>
        <v>8.5776559094423721E-3</v>
      </c>
    </row>
    <row r="1218" spans="2:11" x14ac:dyDescent="0.25">
      <c r="B1218" s="263">
        <v>46182</v>
      </c>
      <c r="C1218" s="162">
        <v>7386.65</v>
      </c>
      <c r="D1218" s="94">
        <f t="shared" si="54"/>
        <v>-2.5763834220259296E-3</v>
      </c>
      <c r="F1218" s="161">
        <v>1890.31</v>
      </c>
      <c r="G1218" s="94">
        <f t="shared" si="55"/>
        <v>1.1545815171623008E-3</v>
      </c>
      <c r="J1218" s="264">
        <v>143.86000000000001</v>
      </c>
      <c r="K1218" s="94">
        <f t="shared" si="56"/>
        <v>2.8581387242943013E-3</v>
      </c>
    </row>
    <row r="1219" spans="2:11" x14ac:dyDescent="0.25">
      <c r="B1219" s="263">
        <v>46183</v>
      </c>
      <c r="C1219" s="162">
        <v>7266.99</v>
      </c>
      <c r="D1219" s="94">
        <f t="shared" si="54"/>
        <v>-1.6199495034961653E-2</v>
      </c>
      <c r="F1219" s="161">
        <v>1848.21</v>
      </c>
      <c r="G1219" s="94">
        <f t="shared" si="55"/>
        <v>-2.227147928117601E-2</v>
      </c>
      <c r="J1219" s="264">
        <v>145.59</v>
      </c>
      <c r="K1219" s="94">
        <f t="shared" si="56"/>
        <v>1.2025580425413462E-2</v>
      </c>
    </row>
    <row r="1220" spans="2:11" x14ac:dyDescent="0.25">
      <c r="B1220" s="263">
        <v>46184</v>
      </c>
      <c r="C1220" s="162">
        <v>7394.3</v>
      </c>
      <c r="D1220" s="94">
        <f t="shared" si="54"/>
        <v>1.751894525794051E-2</v>
      </c>
      <c r="F1220" s="161">
        <v>1892.38</v>
      </c>
      <c r="G1220" s="94">
        <f t="shared" si="55"/>
        <v>2.3898799378858415E-2</v>
      </c>
      <c r="J1220" s="264">
        <v>153.88</v>
      </c>
      <c r="K1220" s="94">
        <f t="shared" si="56"/>
        <v>5.6940723950820837E-2</v>
      </c>
    </row>
    <row r="1221" spans="2:11" x14ac:dyDescent="0.25">
      <c r="B1221" s="263">
        <v>46185</v>
      </c>
      <c r="C1221" s="162">
        <v>7431.46</v>
      </c>
      <c r="D1221" s="94">
        <f t="shared" si="54"/>
        <v>5.0254926091719554E-3</v>
      </c>
      <c r="F1221" s="161">
        <v>1892.59</v>
      </c>
      <c r="G1221" s="94">
        <f t="shared" si="55"/>
        <v>1.1097136938653662E-4</v>
      </c>
      <c r="J1221" s="264">
        <v>162.29</v>
      </c>
      <c r="K1221" s="94">
        <f t="shared" si="56"/>
        <v>5.4652976345203941E-2</v>
      </c>
    </row>
    <row r="1222" spans="2:11" x14ac:dyDescent="0.25">
      <c r="B1222" s="263">
        <v>46188</v>
      </c>
      <c r="C1222" s="162">
        <v>7554.29</v>
      </c>
      <c r="D1222" s="94">
        <f t="shared" si="54"/>
        <v>1.6528380695045142E-2</v>
      </c>
      <c r="F1222" s="161">
        <v>1928.8</v>
      </c>
      <c r="G1222" s="94">
        <f t="shared" si="55"/>
        <v>1.9132511531816165E-2</v>
      </c>
      <c r="J1222" s="264">
        <v>166.22</v>
      </c>
      <c r="K1222" s="94">
        <f t="shared" si="56"/>
        <v>2.4215909791114765E-2</v>
      </c>
    </row>
    <row r="1223" spans="2:11" x14ac:dyDescent="0.25">
      <c r="B1223" s="263">
        <v>46189</v>
      </c>
      <c r="C1223" s="162">
        <v>7511.35</v>
      </c>
      <c r="D1223" s="94">
        <f t="shared" si="54"/>
        <v>-5.6841873955063571E-3</v>
      </c>
      <c r="F1223" s="161">
        <v>1926.65</v>
      </c>
      <c r="G1223" s="94">
        <f t="shared" si="55"/>
        <v>-1.1146827042720631E-3</v>
      </c>
      <c r="J1223" s="264">
        <v>162.72999999999999</v>
      </c>
      <c r="K1223" s="94">
        <f t="shared" si="56"/>
        <v>-2.0996270003609707E-2</v>
      </c>
    </row>
    <row r="1224" spans="2:11" x14ac:dyDescent="0.25">
      <c r="B1224" s="263">
        <v>46190</v>
      </c>
      <c r="C1224" s="162">
        <v>7420.1</v>
      </c>
      <c r="D1224" s="94">
        <f t="shared" si="54"/>
        <v>-1.2148282266170485E-2</v>
      </c>
      <c r="F1224" s="161">
        <v>1874.78</v>
      </c>
      <c r="G1224" s="94">
        <f t="shared" si="55"/>
        <v>-2.6922378221264975E-2</v>
      </c>
      <c r="J1224" s="264">
        <v>150.05000000000001</v>
      </c>
      <c r="K1224" s="94">
        <f t="shared" si="56"/>
        <v>-7.7920481779634843E-2</v>
      </c>
    </row>
    <row r="1225" spans="2:11" x14ac:dyDescent="0.25">
      <c r="B1225" s="263">
        <v>46191</v>
      </c>
      <c r="C1225" s="162">
        <v>7500.58</v>
      </c>
      <c r="D1225" s="94">
        <f t="shared" ref="D1225:D1261" si="57">C1225/C1224-1</f>
        <v>1.0846215010579252E-2</v>
      </c>
      <c r="F1225" s="161">
        <v>1907.81</v>
      </c>
      <c r="G1225" s="94">
        <f t="shared" ref="G1225:G1261" si="58">F1225/F1224-1</f>
        <v>1.7618067186549791E-2</v>
      </c>
      <c r="J1225" s="264">
        <v>161.78</v>
      </c>
      <c r="K1225" s="94">
        <f t="shared" si="56"/>
        <v>7.8173942019326814E-2</v>
      </c>
    </row>
    <row r="1226" spans="2:11" x14ac:dyDescent="0.25">
      <c r="B1226" s="263">
        <v>46195</v>
      </c>
      <c r="C1226" s="162">
        <v>7472.79</v>
      </c>
      <c r="D1226" s="94">
        <f t="shared" si="57"/>
        <v>-3.7050468097133971E-3</v>
      </c>
      <c r="F1226" s="161">
        <v>1863.37</v>
      </c>
      <c r="G1226" s="94">
        <f t="shared" si="58"/>
        <v>-2.32937242178205E-2</v>
      </c>
      <c r="J1226" s="264">
        <v>156.74</v>
      </c>
      <c r="K1226" s="94">
        <f t="shared" ref="K1226:K1261" si="59">J1226/J1225-1</f>
        <v>-3.1153418222277129E-2</v>
      </c>
    </row>
    <row r="1227" spans="2:11" x14ac:dyDescent="0.25">
      <c r="B1227" s="263">
        <v>46196</v>
      </c>
      <c r="C1227" s="162">
        <v>7365.46</v>
      </c>
      <c r="D1227" s="94">
        <f t="shared" si="57"/>
        <v>-1.4362774813690748E-2</v>
      </c>
      <c r="F1227" s="161">
        <v>1846.01</v>
      </c>
      <c r="G1227" s="94">
        <f t="shared" si="58"/>
        <v>-9.3164535223814182E-3</v>
      </c>
      <c r="J1227" s="264">
        <v>150.41</v>
      </c>
      <c r="K1227" s="94">
        <f t="shared" si="59"/>
        <v>-4.0385351537578273E-2</v>
      </c>
    </row>
    <row r="1228" spans="2:11" x14ac:dyDescent="0.25">
      <c r="B1228" s="263">
        <v>46197</v>
      </c>
      <c r="C1228" s="162">
        <v>7358.22</v>
      </c>
      <c r="D1228" s="94">
        <f t="shared" si="57"/>
        <v>-9.8296644065676286E-4</v>
      </c>
      <c r="F1228" s="161">
        <v>1860.71</v>
      </c>
      <c r="G1228" s="94">
        <f t="shared" si="58"/>
        <v>7.9631204598025196E-3</v>
      </c>
      <c r="J1228" s="264">
        <v>155.79</v>
      </c>
      <c r="K1228" s="94">
        <f t="shared" si="59"/>
        <v>3.5768898344525013E-2</v>
      </c>
    </row>
    <row r="1229" spans="2:11" x14ac:dyDescent="0.25">
      <c r="B1229" s="263">
        <v>46198</v>
      </c>
      <c r="C1229" s="162">
        <v>7357.49</v>
      </c>
      <c r="D1229" s="94">
        <f t="shared" si="57"/>
        <v>-9.920877603553091E-5</v>
      </c>
      <c r="F1229" s="161">
        <v>1827.61</v>
      </c>
      <c r="G1229" s="94">
        <f t="shared" si="58"/>
        <v>-1.7788908534914216E-2</v>
      </c>
      <c r="J1229" s="264">
        <v>165.42</v>
      </c>
      <c r="K1229" s="94">
        <f t="shared" si="59"/>
        <v>6.1813980358174536E-2</v>
      </c>
    </row>
    <row r="1230" spans="2:11" x14ac:dyDescent="0.25">
      <c r="B1230" s="263">
        <v>46199</v>
      </c>
      <c r="C1230" s="162">
        <v>7354.02</v>
      </c>
      <c r="D1230" s="94">
        <f t="shared" si="57"/>
        <v>-4.7162823191049252E-4</v>
      </c>
      <c r="F1230" s="161">
        <v>1855.95</v>
      </c>
      <c r="G1230" s="94">
        <f t="shared" si="58"/>
        <v>1.5506590574575707E-2</v>
      </c>
      <c r="J1230" s="264">
        <v>166.76</v>
      </c>
      <c r="K1230" s="94">
        <f t="shared" si="59"/>
        <v>8.1005924313868327E-3</v>
      </c>
    </row>
    <row r="1231" spans="2:11" x14ac:dyDescent="0.25">
      <c r="B1231" s="263">
        <v>46202</v>
      </c>
      <c r="C1231" s="162">
        <v>7440.43</v>
      </c>
      <c r="D1231" s="94">
        <f t="shared" si="57"/>
        <v>1.1750036034712918E-2</v>
      </c>
      <c r="F1231" s="161">
        <v>1905.69</v>
      </c>
      <c r="G1231" s="94">
        <f t="shared" si="58"/>
        <v>2.6800290956114026E-2</v>
      </c>
      <c r="J1231" s="264">
        <v>165.47</v>
      </c>
      <c r="K1231" s="94">
        <f t="shared" si="59"/>
        <v>-7.7356680259054178E-3</v>
      </c>
    </row>
    <row r="1232" spans="2:11" x14ac:dyDescent="0.25">
      <c r="B1232" s="263">
        <v>46203</v>
      </c>
      <c r="C1232" s="162">
        <v>7499.36</v>
      </c>
      <c r="D1232" s="94">
        <f t="shared" si="57"/>
        <v>7.920241168857034E-3</v>
      </c>
      <c r="F1232" s="161">
        <v>1907.11</v>
      </c>
      <c r="G1232" s="94">
        <f t="shared" si="58"/>
        <v>7.4513693202971076E-4</v>
      </c>
      <c r="J1232" s="264">
        <v>173.41</v>
      </c>
      <c r="K1232" s="94">
        <f t="shared" si="59"/>
        <v>4.7984528917628611E-2</v>
      </c>
    </row>
    <row r="1233" spans="2:11" x14ac:dyDescent="0.25">
      <c r="B1233" s="263">
        <v>46204</v>
      </c>
      <c r="C1233" s="162">
        <v>7483.23</v>
      </c>
      <c r="D1233" s="94">
        <f t="shared" si="57"/>
        <v>-2.150850205884236E-3</v>
      </c>
      <c r="F1233" s="161">
        <v>1922.81</v>
      </c>
      <c r="G1233" s="94">
        <f t="shared" si="58"/>
        <v>8.2323515686038018E-3</v>
      </c>
      <c r="J1233" s="264">
        <v>174.97</v>
      </c>
      <c r="K1233" s="94">
        <f t="shared" si="59"/>
        <v>8.9960209907156141E-3</v>
      </c>
    </row>
    <row r="1234" spans="2:11" x14ac:dyDescent="0.25">
      <c r="B1234" s="263">
        <v>46205</v>
      </c>
      <c r="C1234" s="162">
        <v>7483.24</v>
      </c>
      <c r="D1234" s="94">
        <f t="shared" si="57"/>
        <v>1.3363213478001512E-6</v>
      </c>
      <c r="F1234" s="161">
        <v>1907.24</v>
      </c>
      <c r="G1234" s="94">
        <f t="shared" si="58"/>
        <v>-8.0975239363223483E-3</v>
      </c>
      <c r="J1234" s="264">
        <v>177.99</v>
      </c>
      <c r="K1234" s="94">
        <f t="shared" si="59"/>
        <v>1.7260101731725541E-2</v>
      </c>
    </row>
    <row r="1235" spans="2:11" x14ac:dyDescent="0.25">
      <c r="B1235" s="263">
        <v>46209</v>
      </c>
      <c r="C1235" s="162">
        <v>7537.43</v>
      </c>
      <c r="D1235" s="94">
        <f t="shared" si="57"/>
        <v>7.2415157071001879E-3</v>
      </c>
      <c r="F1235" s="161">
        <v>1925.3</v>
      </c>
      <c r="G1235" s="94">
        <f t="shared" si="58"/>
        <v>9.469180596044513E-3</v>
      </c>
      <c r="J1235" s="264">
        <v>170.58</v>
      </c>
      <c r="K1235" s="94">
        <f t="shared" si="59"/>
        <v>-4.1631552334400745E-2</v>
      </c>
    </row>
    <row r="1236" spans="2:11" x14ac:dyDescent="0.25">
      <c r="B1236" s="263">
        <v>46210</v>
      </c>
      <c r="C1236" s="162">
        <v>7503.85</v>
      </c>
      <c r="D1236" s="94">
        <f t="shared" si="57"/>
        <v>-4.4550994171753677E-3</v>
      </c>
      <c r="F1236" s="161">
        <v>1916.91</v>
      </c>
      <c r="G1236" s="94">
        <f t="shared" si="58"/>
        <v>-4.3577624266347703E-3</v>
      </c>
      <c r="J1236" s="264">
        <v>170.21</v>
      </c>
      <c r="K1236" s="94">
        <f t="shared" si="59"/>
        <v>-2.1690702309766774E-3</v>
      </c>
    </row>
    <row r="1237" spans="2:11" x14ac:dyDescent="0.25">
      <c r="B1237" s="263">
        <v>46211</v>
      </c>
      <c r="C1237" s="162">
        <v>7482.71</v>
      </c>
      <c r="D1237" s="94">
        <f t="shared" si="57"/>
        <v>-2.8172204934800993E-3</v>
      </c>
      <c r="F1237" s="161">
        <v>1886.21</v>
      </c>
      <c r="G1237" s="94">
        <f t="shared" si="58"/>
        <v>-1.6015358050195383E-2</v>
      </c>
      <c r="J1237" s="264">
        <v>158.47</v>
      </c>
      <c r="K1237" s="94">
        <f t="shared" si="59"/>
        <v>-6.8973620821338399E-2</v>
      </c>
    </row>
    <row r="1238" spans="2:11" x14ac:dyDescent="0.25">
      <c r="B1238" s="263">
        <v>46212</v>
      </c>
      <c r="C1238" s="162">
        <v>7543.64</v>
      </c>
      <c r="D1238" s="94">
        <f t="shared" si="57"/>
        <v>8.1427718032638374E-3</v>
      </c>
      <c r="F1238" s="161">
        <v>1913.76</v>
      </c>
      <c r="G1238" s="94">
        <f t="shared" si="58"/>
        <v>1.4606008874939569E-2</v>
      </c>
      <c r="J1238" s="264">
        <v>157.72</v>
      </c>
      <c r="K1238" s="94">
        <f t="shared" si="59"/>
        <v>-4.7327569887044563E-3</v>
      </c>
    </row>
    <row r="1239" spans="2:11" x14ac:dyDescent="0.25">
      <c r="B1239" s="263">
        <v>46213</v>
      </c>
      <c r="C1239" s="162">
        <v>7575.39</v>
      </c>
      <c r="D1239" s="94">
        <f t="shared" si="57"/>
        <v>4.2088434760938487E-3</v>
      </c>
      <c r="F1239" s="161">
        <v>1914.8</v>
      </c>
      <c r="G1239" s="94">
        <f t="shared" si="58"/>
        <v>5.4343282334246013E-4</v>
      </c>
      <c r="J1239" s="264">
        <v>153.29</v>
      </c>
      <c r="K1239" s="94">
        <f t="shared" si="59"/>
        <v>-2.80877504438245E-2</v>
      </c>
    </row>
    <row r="1240" spans="2:11" x14ac:dyDescent="0.25">
      <c r="B1240" s="263">
        <v>46216</v>
      </c>
      <c r="C1240" s="162">
        <v>7515.34</v>
      </c>
      <c r="D1240" s="94">
        <f t="shared" si="57"/>
        <v>-7.9269846172936864E-3</v>
      </c>
      <c r="F1240" s="161">
        <v>1900.89</v>
      </c>
      <c r="G1240" s="94">
        <f t="shared" si="58"/>
        <v>-7.2644662627949774E-3</v>
      </c>
      <c r="J1240" s="264">
        <v>154.06</v>
      </c>
      <c r="K1240" s="94">
        <f t="shared" si="59"/>
        <v>5.0231587187683502E-3</v>
      </c>
    </row>
    <row r="1241" spans="2:11" x14ac:dyDescent="0.25">
      <c r="B1241" s="263">
        <v>46217</v>
      </c>
      <c r="C1241" s="162">
        <v>7543.59</v>
      </c>
      <c r="D1241" s="94">
        <f t="shared" si="57"/>
        <v>3.7589783030442803E-3</v>
      </c>
      <c r="F1241" s="161">
        <v>1900.4</v>
      </c>
      <c r="G1241" s="94">
        <f t="shared" si="58"/>
        <v>-2.5777399007831381E-4</v>
      </c>
      <c r="J1241" s="264">
        <v>148.41</v>
      </c>
      <c r="K1241" s="94">
        <f t="shared" si="59"/>
        <v>-3.6674023107880038E-2</v>
      </c>
    </row>
    <row r="1242" spans="2:11" x14ac:dyDescent="0.25">
      <c r="B1242" s="263">
        <v>46218</v>
      </c>
      <c r="C1242" s="162">
        <v>7572.4</v>
      </c>
      <c r="D1242" s="94">
        <f t="shared" si="57"/>
        <v>3.8191365119260023E-3</v>
      </c>
      <c r="F1242" s="161">
        <v>1926.22</v>
      </c>
      <c r="G1242" s="94">
        <f t="shared" si="58"/>
        <v>1.3586613344559018E-2</v>
      </c>
      <c r="J1242" s="264">
        <v>145.69999999999999</v>
      </c>
      <c r="K1242" s="94">
        <f t="shared" si="59"/>
        <v>-1.8260225052220247E-2</v>
      </c>
    </row>
    <row r="1243" spans="2:11" x14ac:dyDescent="0.25">
      <c r="B1243" s="263">
        <v>46219</v>
      </c>
      <c r="C1243" s="162">
        <v>7533.77</v>
      </c>
      <c r="D1243" s="94">
        <f t="shared" si="57"/>
        <v>-5.1014209497648455E-3</v>
      </c>
      <c r="F1243" s="161">
        <v>1920.58</v>
      </c>
      <c r="G1243" s="94">
        <f t="shared" si="58"/>
        <v>-2.9280144531778074E-3</v>
      </c>
      <c r="J1243" s="264">
        <v>140.93</v>
      </c>
      <c r="K1243" s="94">
        <f t="shared" si="59"/>
        <v>-3.2738503774879746E-2</v>
      </c>
    </row>
    <row r="1244" spans="2:11" x14ac:dyDescent="0.25">
      <c r="B1244" s="263">
        <v>46220</v>
      </c>
      <c r="C1244" s="162">
        <v>7457.69</v>
      </c>
      <c r="D1244" s="94">
        <f t="shared" si="57"/>
        <v>-1.0098529686996094E-2</v>
      </c>
      <c r="F1244" s="161">
        <v>1890.27</v>
      </c>
      <c r="G1244" s="94">
        <f t="shared" si="58"/>
        <v>-1.5781690947526239E-2</v>
      </c>
      <c r="J1244" s="264">
        <v>142.33000000000001</v>
      </c>
      <c r="K1244" s="94">
        <f t="shared" si="59"/>
        <v>9.9340097920954662E-3</v>
      </c>
    </row>
    <row r="1245" spans="2:11" x14ac:dyDescent="0.25">
      <c r="B1245" s="263">
        <v>46223</v>
      </c>
      <c r="C1245" s="162">
        <v>7443.28</v>
      </c>
      <c r="D1245" s="94">
        <f t="shared" si="57"/>
        <v>-1.9322337077566365E-3</v>
      </c>
      <c r="F1245" s="161">
        <v>1882.84</v>
      </c>
      <c r="G1245" s="94">
        <f t="shared" si="58"/>
        <v>-3.9306554090157153E-3</v>
      </c>
      <c r="J1245" s="264">
        <v>141.1</v>
      </c>
      <c r="K1245" s="94">
        <f t="shared" si="59"/>
        <v>-8.6418885688190894E-3</v>
      </c>
    </row>
    <row r="1246" spans="2:11" x14ac:dyDescent="0.25">
      <c r="B1246" s="263">
        <v>46224</v>
      </c>
      <c r="C1246" s="162">
        <v>7509.2</v>
      </c>
      <c r="D1246" s="94">
        <f t="shared" si="57"/>
        <v>8.8563106587418172E-3</v>
      </c>
      <c r="F1246" s="161">
        <v>1883.57</v>
      </c>
      <c r="G1246" s="94">
        <f t="shared" si="58"/>
        <v>3.8771217947353165E-4</v>
      </c>
      <c r="J1246" s="264">
        <v>134.94999999999999</v>
      </c>
      <c r="K1246" s="94">
        <f t="shared" si="59"/>
        <v>-4.3586109142452201E-2</v>
      </c>
    </row>
    <row r="1247" spans="2:11" x14ac:dyDescent="0.25">
      <c r="B1247" s="263">
        <v>46225</v>
      </c>
      <c r="C1247" s="162">
        <v>7498.96</v>
      </c>
      <c r="D1247" s="94">
        <f t="shared" si="57"/>
        <v>-1.3636605763596155E-3</v>
      </c>
      <c r="F1247" s="161">
        <v>1867.7</v>
      </c>
      <c r="G1247" s="94">
        <f t="shared" si="58"/>
        <v>-8.4254898941902301E-3</v>
      </c>
      <c r="J1247" s="264">
        <v>138.12</v>
      </c>
      <c r="K1247" s="94">
        <f t="shared" si="59"/>
        <v>2.3490181548721845E-2</v>
      </c>
    </row>
    <row r="1248" spans="2:11" x14ac:dyDescent="0.25">
      <c r="B1248" s="263">
        <v>46226</v>
      </c>
      <c r="C1248" s="162">
        <v>7408.3</v>
      </c>
      <c r="D1248" s="94">
        <f t="shared" si="57"/>
        <v>-1.2089676435132368E-2</v>
      </c>
      <c r="F1248" s="161">
        <v>1772.07</v>
      </c>
      <c r="G1248" s="94">
        <f t="shared" si="58"/>
        <v>-5.1202013171280258E-2</v>
      </c>
      <c r="J1248" s="264">
        <v>134.86000000000001</v>
      </c>
      <c r="K1248" s="94">
        <f t="shared" si="59"/>
        <v>-2.3602664349840596E-2</v>
      </c>
    </row>
    <row r="1249" spans="2:11" x14ac:dyDescent="0.25">
      <c r="B1249" s="263">
        <v>46227</v>
      </c>
      <c r="C1249" s="162">
        <v>7411.98</v>
      </c>
      <c r="D1249" s="94">
        <f t="shared" si="57"/>
        <v>4.9674014281264611E-4</v>
      </c>
      <c r="F1249" s="161">
        <v>1774.97</v>
      </c>
      <c r="G1249" s="94">
        <f t="shared" si="58"/>
        <v>1.6365042013013475E-3</v>
      </c>
      <c r="J1249" s="264">
        <v>135.19999999999999</v>
      </c>
      <c r="K1249" s="94">
        <f t="shared" si="59"/>
        <v>2.5211330268424259E-3</v>
      </c>
    </row>
    <row r="1250" spans="2:11" x14ac:dyDescent="0.25">
      <c r="B1250" s="263">
        <v>46230</v>
      </c>
      <c r="C1250" s="162">
        <v>7413.18</v>
      </c>
      <c r="D1250" s="94">
        <f t="shared" si="57"/>
        <v>1.6190005909355598E-4</v>
      </c>
      <c r="F1250" s="161">
        <v>1788.58</v>
      </c>
      <c r="G1250" s="94">
        <f t="shared" si="58"/>
        <v>7.6677352293277323E-3</v>
      </c>
      <c r="J1250" s="264">
        <v>137.24</v>
      </c>
      <c r="K1250" s="94">
        <f t="shared" si="59"/>
        <v>1.508875739644977E-2</v>
      </c>
    </row>
    <row r="1251" spans="2:11" x14ac:dyDescent="0.25">
      <c r="B1251" s="263">
        <v>46231</v>
      </c>
      <c r="C1251" s="162">
        <v>7428.78</v>
      </c>
      <c r="D1251" s="94">
        <f t="shared" si="57"/>
        <v>2.1043600721957212E-3</v>
      </c>
      <c r="F1251" s="161">
        <v>1805.61</v>
      </c>
      <c r="G1251" s="94">
        <f t="shared" si="58"/>
        <v>9.52151986492078E-3</v>
      </c>
      <c r="J1251" s="264">
        <v>134.87</v>
      </c>
      <c r="K1251" s="94">
        <f t="shared" si="59"/>
        <v>-1.7269017779073192E-2</v>
      </c>
    </row>
    <row r="1252" spans="2:11" x14ac:dyDescent="0.25">
      <c r="B1252" s="263">
        <v>46232</v>
      </c>
      <c r="C1252" s="162">
        <v>7316.15</v>
      </c>
      <c r="D1252" s="94">
        <f t="shared" si="57"/>
        <v>-1.5161305086434096E-2</v>
      </c>
      <c r="F1252" s="161">
        <v>1784.28</v>
      </c>
      <c r="G1252" s="94">
        <f t="shared" si="58"/>
        <v>-1.1813182248658349E-2</v>
      </c>
      <c r="J1252" s="264">
        <v>139.44999999999999</v>
      </c>
      <c r="K1252" s="94">
        <f t="shared" si="59"/>
        <v>3.3958626825832061E-2</v>
      </c>
    </row>
    <row r="1253" spans="2:11" x14ac:dyDescent="0.25">
      <c r="B1253" s="263">
        <v>46233</v>
      </c>
      <c r="C1253" s="162">
        <v>7437.63</v>
      </c>
      <c r="D1253" s="94">
        <f t="shared" si="57"/>
        <v>1.6604361583619776E-2</v>
      </c>
      <c r="F1253" s="161">
        <v>1812.32</v>
      </c>
      <c r="G1253" s="94">
        <f t="shared" si="58"/>
        <v>1.5715022305916149E-2</v>
      </c>
      <c r="J1253" s="264">
        <v>134.34</v>
      </c>
      <c r="K1253" s="94">
        <f t="shared" si="59"/>
        <v>-3.6643958408031474E-2</v>
      </c>
    </row>
    <row r="1254" spans="2:11" x14ac:dyDescent="0.25">
      <c r="B1254" s="263">
        <v>46234</v>
      </c>
      <c r="C1254" s="162">
        <v>7489.72</v>
      </c>
      <c r="D1254" s="94">
        <f t="shared" si="57"/>
        <v>7.0035750635619731E-3</v>
      </c>
      <c r="F1254" s="161">
        <v>1922.36</v>
      </c>
      <c r="G1254" s="94">
        <f t="shared" si="58"/>
        <v>6.0717754039021798E-2</v>
      </c>
      <c r="J1254" s="264">
        <v>129.49</v>
      </c>
      <c r="K1254" s="94">
        <f t="shared" si="59"/>
        <v>-3.610242667857666E-2</v>
      </c>
    </row>
    <row r="1255" spans="2:11" x14ac:dyDescent="0.25">
      <c r="B1255" s="263">
        <v>46237</v>
      </c>
      <c r="C1255" s="162">
        <v>7600.5</v>
      </c>
      <c r="D1255" s="94">
        <f t="shared" si="57"/>
        <v>1.4790940115251283E-2</v>
      </c>
      <c r="F1255" s="161">
        <v>1973.79</v>
      </c>
      <c r="G1255" s="94">
        <f t="shared" si="58"/>
        <v>2.6753573732287483E-2</v>
      </c>
      <c r="J1255" s="264">
        <v>130.38999999999999</v>
      </c>
      <c r="K1255" s="94">
        <f t="shared" si="59"/>
        <v>6.9503436558806531E-3</v>
      </c>
    </row>
    <row r="1256" spans="2:11" x14ac:dyDescent="0.25">
      <c r="B1256" s="263">
        <v>46238</v>
      </c>
      <c r="C1256" s="162">
        <v>7736.52</v>
      </c>
      <c r="D1256" s="94">
        <f t="shared" si="57"/>
        <v>1.7896191040063236E-2</v>
      </c>
      <c r="F1256" s="161">
        <v>1964.41</v>
      </c>
      <c r="G1256" s="94">
        <f t="shared" si="58"/>
        <v>-4.7522786111997561E-3</v>
      </c>
      <c r="J1256" s="264">
        <v>121.5</v>
      </c>
      <c r="K1256" s="94">
        <f t="shared" si="59"/>
        <v>-6.8180075159137821E-2</v>
      </c>
    </row>
    <row r="1257" spans="2:11" x14ac:dyDescent="0.25">
      <c r="B1257" s="263">
        <v>46239</v>
      </c>
      <c r="C1257" s="162">
        <v>7723.55</v>
      </c>
      <c r="D1257" s="94">
        <f t="shared" si="57"/>
        <v>-1.6764643534820101E-3</v>
      </c>
      <c r="F1257" s="161">
        <v>1958.03</v>
      </c>
      <c r="G1257" s="94">
        <f t="shared" si="58"/>
        <v>-3.2477945031842426E-3</v>
      </c>
      <c r="J1257" s="264">
        <v>123.86</v>
      </c>
      <c r="K1257" s="94">
        <f t="shared" si="59"/>
        <v>1.942386831275722E-2</v>
      </c>
    </row>
    <row r="1258" spans="2:11" x14ac:dyDescent="0.25">
      <c r="B1258" s="263">
        <v>46240</v>
      </c>
      <c r="C1258" s="162">
        <v>7709.96</v>
      </c>
      <c r="D1258" s="94">
        <f t="shared" si="57"/>
        <v>-1.7595535731625978E-3</v>
      </c>
      <c r="F1258" s="161">
        <v>1950.81</v>
      </c>
      <c r="G1258" s="94">
        <f t="shared" si="58"/>
        <v>-3.687379662211554E-3</v>
      </c>
      <c r="J1258" s="264">
        <v>116.62</v>
      </c>
      <c r="K1258" s="94">
        <f t="shared" si="59"/>
        <v>-5.8453092200871914E-2</v>
      </c>
    </row>
    <row r="1259" spans="2:11" x14ac:dyDescent="0.25">
      <c r="B1259" s="263">
        <v>46241</v>
      </c>
      <c r="C1259" s="162">
        <v>7757.64</v>
      </c>
      <c r="D1259" s="94">
        <f t="shared" si="57"/>
        <v>6.1842084783838569E-3</v>
      </c>
      <c r="F1259" s="161">
        <v>1976.96</v>
      </c>
      <c r="G1259" s="94">
        <f t="shared" si="58"/>
        <v>1.3404688308958912E-2</v>
      </c>
      <c r="J1259" s="264">
        <v>116.815</v>
      </c>
      <c r="K1259" s="94">
        <f t="shared" si="59"/>
        <v>1.6720974103927588E-3</v>
      </c>
    </row>
    <row r="1260" spans="2:11" x14ac:dyDescent="0.25">
      <c r="B1260" s="263">
        <v>46244</v>
      </c>
      <c r="C1260" s="162">
        <v>7753.11</v>
      </c>
      <c r="D1260" s="94">
        <f t="shared" si="57"/>
        <v>-5.8394047674303895E-4</v>
      </c>
      <c r="F1260" s="161">
        <v>1982.35</v>
      </c>
      <c r="G1260" s="94">
        <f t="shared" si="58"/>
        <v>2.7264082227256292E-3</v>
      </c>
      <c r="J1260" s="264">
        <v>117.52</v>
      </c>
      <c r="K1260" s="94">
        <f t="shared" si="59"/>
        <v>6.0351838376919709E-3</v>
      </c>
    </row>
    <row r="1261" spans="2:11" x14ac:dyDescent="0.25">
      <c r="B1261" s="263">
        <v>46245</v>
      </c>
      <c r="C1261" s="162">
        <v>7728.2</v>
      </c>
      <c r="D1261" s="94">
        <f t="shared" si="57"/>
        <v>-3.2129042410077302E-3</v>
      </c>
      <c r="F1261" s="161">
        <v>1967.4</v>
      </c>
      <c r="G1261" s="94">
        <f t="shared" si="58"/>
        <v>-7.5415542159557036E-3</v>
      </c>
      <c r="J1261" s="264">
        <v>111.36</v>
      </c>
      <c r="K1261" s="94">
        <f t="shared" si="59"/>
        <v>-5.241660993873376E-2</v>
      </c>
    </row>
  </sheetData>
  <mergeCells count="2">
    <mergeCell ref="B2:D2"/>
    <mergeCell ref="J6:K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560AE-ADE7-4D7B-9931-0E43AD671080}">
  <dimension ref="A1:BI270"/>
  <sheetViews>
    <sheetView topLeftCell="Y23" zoomScale="105" workbookViewId="0">
      <selection activeCell="AG28" sqref="AG28"/>
    </sheetView>
  </sheetViews>
  <sheetFormatPr defaultRowHeight="14.4" x14ac:dyDescent="0.3"/>
  <cols>
    <col min="17" max="17" width="15.44140625" bestFit="1" customWidth="1"/>
    <col min="18" max="22" width="15.44140625" customWidth="1"/>
    <col min="23" max="25" width="9.109375" bestFit="1" customWidth="1"/>
    <col min="26" max="27" width="10.6640625" bestFit="1" customWidth="1"/>
    <col min="30" max="30" width="16.33203125" bestFit="1" customWidth="1"/>
    <col min="31" max="31" width="9" bestFit="1" customWidth="1"/>
    <col min="32" max="32" width="16.88671875" bestFit="1" customWidth="1"/>
    <col min="33" max="35" width="9.5546875" bestFit="1" customWidth="1"/>
    <col min="42" max="42" width="17.21875" bestFit="1" customWidth="1"/>
    <col min="43" max="44" width="15.21875" bestFit="1" customWidth="1"/>
    <col min="45" max="52" width="11.44140625" bestFit="1" customWidth="1"/>
    <col min="54" max="54" width="26.21875" bestFit="1" customWidth="1"/>
    <col min="58" max="58" width="35.77734375" bestFit="1" customWidth="1"/>
  </cols>
  <sheetData>
    <row r="1" spans="1:61" x14ac:dyDescent="0.3">
      <c r="A1" t="s">
        <v>281</v>
      </c>
      <c r="B1" s="294">
        <v>0.8</v>
      </c>
    </row>
    <row r="2" spans="1:61" x14ac:dyDescent="0.3">
      <c r="A2" t="s">
        <v>282</v>
      </c>
      <c r="B2" s="294">
        <v>0.2</v>
      </c>
      <c r="Q2" t="s">
        <v>291</v>
      </c>
      <c r="R2" s="317">
        <v>2021</v>
      </c>
      <c r="S2" s="317">
        <v>2022</v>
      </c>
      <c r="T2" s="317">
        <v>2023</v>
      </c>
      <c r="U2" s="317">
        <v>2024</v>
      </c>
      <c r="V2" s="317">
        <v>2025</v>
      </c>
      <c r="W2" s="315">
        <v>2026</v>
      </c>
      <c r="X2" s="315">
        <f>W2+1</f>
        <v>2027</v>
      </c>
      <c r="Y2" s="315">
        <f t="shared" ref="Y2:AA2" si="0">X2+1</f>
        <v>2028</v>
      </c>
      <c r="Z2" s="315">
        <f t="shared" si="0"/>
        <v>2029</v>
      </c>
      <c r="AA2" s="315">
        <f t="shared" si="0"/>
        <v>2030</v>
      </c>
      <c r="AE2" s="317">
        <v>2021</v>
      </c>
      <c r="AF2" s="317">
        <v>2022</v>
      </c>
      <c r="AG2" s="317">
        <v>2023</v>
      </c>
      <c r="AH2" s="317">
        <v>2024</v>
      </c>
      <c r="AI2" s="317">
        <v>2025</v>
      </c>
      <c r="AJ2" s="315">
        <v>2026</v>
      </c>
      <c r="AK2" s="315">
        <v>2027</v>
      </c>
      <c r="AL2" s="315">
        <v>2028</v>
      </c>
      <c r="AM2" s="315">
        <v>2029</v>
      </c>
      <c r="AN2" s="315">
        <v>2030</v>
      </c>
      <c r="AQ2" s="317">
        <v>2021</v>
      </c>
      <c r="AR2" s="317">
        <v>2022</v>
      </c>
      <c r="AS2" s="317">
        <v>2023</v>
      </c>
      <c r="AT2" s="317">
        <v>2024</v>
      </c>
      <c r="AU2" s="317">
        <v>2025</v>
      </c>
      <c r="AV2" s="315">
        <v>2026</v>
      </c>
      <c r="AW2" s="315">
        <v>2027</v>
      </c>
      <c r="AX2" s="315">
        <v>2028</v>
      </c>
      <c r="AY2" s="315">
        <v>2029</v>
      </c>
      <c r="AZ2" s="315">
        <v>2030</v>
      </c>
    </row>
    <row r="3" spans="1:61" x14ac:dyDescent="0.3">
      <c r="Q3" t="s">
        <v>82</v>
      </c>
      <c r="R3">
        <v>282.50200000000001</v>
      </c>
      <c r="S3">
        <v>357.52100000000002</v>
      </c>
      <c r="T3">
        <v>460.05500000000001</v>
      </c>
      <c r="U3">
        <v>625.80700000000002</v>
      </c>
      <c r="V3">
        <v>696.85299999999995</v>
      </c>
      <c r="W3">
        <v>762.02912576595736</v>
      </c>
      <c r="X3">
        <v>821.42192707382969</v>
      </c>
      <c r="Y3">
        <v>942.83920704528498</v>
      </c>
      <c r="Z3">
        <v>1066.1835242848665</v>
      </c>
      <c r="AA3">
        <v>1211.5279015912781</v>
      </c>
      <c r="AD3" t="s">
        <v>292</v>
      </c>
      <c r="AE3" s="318">
        <v>0.26108133747725681</v>
      </c>
      <c r="AF3" s="318">
        <v>0.25714014001974711</v>
      </c>
      <c r="AG3" s="318">
        <v>0.24474030278988382</v>
      </c>
      <c r="AH3" s="318">
        <v>0.26464389180689896</v>
      </c>
      <c r="AI3" s="318">
        <v>0.25728668743623118</v>
      </c>
      <c r="AJ3" s="318">
        <v>0.29923944147545417</v>
      </c>
      <c r="AK3" s="318">
        <v>0.30004508704010568</v>
      </c>
      <c r="AL3" s="318">
        <v>0.30124798564671385</v>
      </c>
      <c r="AM3" s="318">
        <v>0.30431301353976964</v>
      </c>
      <c r="AN3" s="318">
        <v>0.30423428801074315</v>
      </c>
      <c r="AP3" t="s">
        <v>294</v>
      </c>
      <c r="AQ3">
        <v>282.50200000000001</v>
      </c>
      <c r="AR3">
        <v>357.52100000000002</v>
      </c>
      <c r="AS3">
        <v>460.05500000000001</v>
      </c>
      <c r="AT3">
        <v>625.80700000000002</v>
      </c>
      <c r="AU3">
        <v>696.85299999999995</v>
      </c>
      <c r="AV3">
        <v>762.02912576595736</v>
      </c>
      <c r="AW3">
        <v>821.42192707382969</v>
      </c>
      <c r="AX3">
        <v>942.83920704528498</v>
      </c>
      <c r="AY3">
        <v>1066.1835242848665</v>
      </c>
      <c r="AZ3">
        <v>1211.5279015912781</v>
      </c>
      <c r="BB3" t="s">
        <v>295</v>
      </c>
      <c r="BC3">
        <v>3255</v>
      </c>
      <c r="BF3" t="s">
        <v>17</v>
      </c>
      <c r="BG3" s="318">
        <f>BI3/$BI$6</f>
        <v>0.46176453283547608</v>
      </c>
      <c r="BI3">
        <v>321782</v>
      </c>
    </row>
    <row r="4" spans="1:61" x14ac:dyDescent="0.3">
      <c r="Q4" t="s">
        <v>38</v>
      </c>
      <c r="R4">
        <v>42.658000000000001</v>
      </c>
      <c r="S4">
        <v>52.947000000000003</v>
      </c>
      <c r="T4">
        <v>70.174999999999997</v>
      </c>
      <c r="U4">
        <v>108.717</v>
      </c>
      <c r="V4">
        <v>174.267</v>
      </c>
      <c r="W4">
        <v>137.22494614868185</v>
      </c>
      <c r="X4">
        <v>152.62872683080221</v>
      </c>
      <c r="Y4">
        <v>171.69189726793238</v>
      </c>
      <c r="Z4">
        <v>202.03526614883313</v>
      </c>
      <c r="AA4">
        <v>237.39919665359514</v>
      </c>
      <c r="AD4" t="s">
        <v>293</v>
      </c>
      <c r="AE4" s="318">
        <v>0.15100070087999376</v>
      </c>
      <c r="AF4" s="318">
        <v>0.14809479722869426</v>
      </c>
      <c r="AG4" s="318">
        <v>0.15253610981295715</v>
      </c>
      <c r="AH4" s="318">
        <v>0.17372288900571581</v>
      </c>
      <c r="AI4" s="318">
        <v>0.2500771324798774</v>
      </c>
      <c r="AJ4" s="318">
        <v>0.1784465077621068</v>
      </c>
      <c r="AK4" s="318">
        <v>0.18243497159522112</v>
      </c>
      <c r="AL4" s="318">
        <v>0.17725069775622893</v>
      </c>
      <c r="AM4" s="318">
        <v>0.18283365413164421</v>
      </c>
      <c r="AN4" s="318">
        <v>0.18741907645491149</v>
      </c>
      <c r="AP4" t="s">
        <v>221</v>
      </c>
      <c r="AQ4">
        <v>2300</v>
      </c>
      <c r="AR4">
        <v>2700</v>
      </c>
      <c r="AS4">
        <v>3500</v>
      </c>
      <c r="AT4">
        <v>4700</v>
      </c>
      <c r="AU4">
        <v>5300</v>
      </c>
      <c r="AV4">
        <v>5648.0567627659566</v>
      </c>
      <c r="AW4">
        <v>6136.5556045638286</v>
      </c>
      <c r="AX4">
        <v>7045.6238090380839</v>
      </c>
      <c r="AY4">
        <v>8090.8239414592708</v>
      </c>
      <c r="AZ4">
        <v>9331.8567037499452</v>
      </c>
      <c r="BB4" t="s">
        <v>296</v>
      </c>
      <c r="BC4">
        <v>5455</v>
      </c>
      <c r="BF4" t="s">
        <v>18</v>
      </c>
      <c r="BG4" s="318">
        <f t="shared" ref="BG4:BG5" si="1">BI4/$BI$6</f>
        <v>0.35533893087925289</v>
      </c>
      <c r="BI4">
        <v>247619</v>
      </c>
    </row>
    <row r="5" spans="1:61" x14ac:dyDescent="0.3">
      <c r="W5" s="316"/>
      <c r="X5" s="316"/>
      <c r="Y5" s="316"/>
      <c r="Z5" s="316"/>
      <c r="AA5" s="316"/>
      <c r="BB5" t="s">
        <v>297</v>
      </c>
      <c r="BC5">
        <v>10000</v>
      </c>
      <c r="BF5" t="s">
        <v>19</v>
      </c>
      <c r="BG5" s="318">
        <f t="shared" si="1"/>
        <v>0.18289653628527106</v>
      </c>
      <c r="BI5">
        <v>127452</v>
      </c>
    </row>
    <row r="6" spans="1:61" x14ac:dyDescent="0.3">
      <c r="AR6">
        <v>1000</v>
      </c>
      <c r="BG6">
        <f>SUM(BG3:BG5)</f>
        <v>1</v>
      </c>
      <c r="BI6">
        <f>SUM(BI3:BI5)</f>
        <v>696853</v>
      </c>
    </row>
    <row r="20" spans="11:35" x14ac:dyDescent="0.3">
      <c r="K20" s="295" t="s">
        <v>283</v>
      </c>
      <c r="L20" s="296" t="s">
        <v>284</v>
      </c>
      <c r="M20" s="296" t="s">
        <v>285</v>
      </c>
    </row>
    <row r="21" spans="11:35" x14ac:dyDescent="0.3">
      <c r="K21" s="297">
        <v>46248</v>
      </c>
      <c r="L21" s="298">
        <v>126.12</v>
      </c>
      <c r="M21" s="299">
        <v>1580300</v>
      </c>
    </row>
    <row r="22" spans="11:35" x14ac:dyDescent="0.3">
      <c r="K22" s="297">
        <v>46247</v>
      </c>
      <c r="L22" s="298">
        <v>113.9</v>
      </c>
      <c r="M22" s="299">
        <v>1105100</v>
      </c>
    </row>
    <row r="23" spans="11:35" x14ac:dyDescent="0.3">
      <c r="K23" s="297">
        <v>46246</v>
      </c>
      <c r="L23" s="298">
        <v>112.08</v>
      </c>
      <c r="M23" s="299">
        <v>1306700</v>
      </c>
    </row>
    <row r="24" spans="11:35" x14ac:dyDescent="0.3">
      <c r="K24" s="297">
        <v>46245</v>
      </c>
      <c r="L24" s="298">
        <v>111.36</v>
      </c>
      <c r="M24" s="299">
        <v>1274800</v>
      </c>
    </row>
    <row r="25" spans="11:35" x14ac:dyDescent="0.3">
      <c r="K25" s="297">
        <v>46244</v>
      </c>
      <c r="L25" s="298">
        <v>117.52</v>
      </c>
      <c r="M25" s="299">
        <v>1150400</v>
      </c>
    </row>
    <row r="26" spans="11:35" x14ac:dyDescent="0.3">
      <c r="K26" s="297">
        <v>46241</v>
      </c>
      <c r="L26" s="298">
        <v>116.82</v>
      </c>
      <c r="M26" s="299">
        <v>1193000</v>
      </c>
    </row>
    <row r="27" spans="11:35" x14ac:dyDescent="0.3">
      <c r="K27" s="297">
        <v>46240</v>
      </c>
      <c r="L27" s="298">
        <v>116.62</v>
      </c>
      <c r="M27" s="299">
        <v>1480200</v>
      </c>
      <c r="AE27" s="317">
        <v>2021</v>
      </c>
      <c r="AF27" s="317">
        <f>AE27+1</f>
        <v>2022</v>
      </c>
      <c r="AG27" s="317">
        <f t="shared" ref="AG27:AI27" si="2">AF27+1</f>
        <v>2023</v>
      </c>
      <c r="AH27" s="317">
        <f t="shared" si="2"/>
        <v>2024</v>
      </c>
      <c r="AI27" s="317">
        <f t="shared" si="2"/>
        <v>2025</v>
      </c>
    </row>
    <row r="28" spans="11:35" x14ac:dyDescent="0.3">
      <c r="K28" s="297">
        <v>46239</v>
      </c>
      <c r="L28" s="298">
        <v>123.86</v>
      </c>
      <c r="M28" s="299">
        <v>1322700</v>
      </c>
      <c r="AD28" t="s">
        <v>298</v>
      </c>
      <c r="AE28">
        <f>('Revenue Buildout'!D20)/1000</f>
        <v>81.528999999999996</v>
      </c>
      <c r="AF28">
        <f>('Revenue Buildout'!E20)/1000</f>
        <v>119.011</v>
      </c>
      <c r="AG28">
        <f>('Revenue Buildout'!F20)/1000</f>
        <v>157.13800000000001</v>
      </c>
      <c r="AH28">
        <f>('Revenue Buildout'!G20)/1000</f>
        <v>217.63</v>
      </c>
      <c r="AI28">
        <f>('Revenue Buildout'!H20)/1000</f>
        <v>247.619</v>
      </c>
    </row>
    <row r="29" spans="11:35" x14ac:dyDescent="0.3">
      <c r="K29" s="297">
        <v>46238</v>
      </c>
      <c r="L29" s="298">
        <v>121.5</v>
      </c>
      <c r="M29" s="299">
        <v>1863400</v>
      </c>
      <c r="AD29" t="s">
        <v>299</v>
      </c>
      <c r="AE29" s="294">
        <v>0.04</v>
      </c>
      <c r="AF29" s="294">
        <v>0.05</v>
      </c>
      <c r="AG29" s="294">
        <v>0.05</v>
      </c>
      <c r="AH29" s="318">
        <v>5.2999999999999999E-2</v>
      </c>
      <c r="AI29" s="318">
        <v>5.5E-2</v>
      </c>
    </row>
    <row r="30" spans="11:35" x14ac:dyDescent="0.3">
      <c r="K30" s="297">
        <v>46237</v>
      </c>
      <c r="L30" s="298">
        <v>130.38999999999999</v>
      </c>
      <c r="M30" s="299">
        <v>1502800</v>
      </c>
    </row>
    <row r="31" spans="11:35" x14ac:dyDescent="0.3">
      <c r="K31" s="297">
        <v>46234</v>
      </c>
      <c r="L31" s="298">
        <v>129.49</v>
      </c>
      <c r="M31" s="299">
        <v>1175800</v>
      </c>
    </row>
    <row r="32" spans="11:35" x14ac:dyDescent="0.3">
      <c r="K32" s="297">
        <v>46233</v>
      </c>
      <c r="L32" s="298">
        <v>134.34</v>
      </c>
      <c r="M32" s="299">
        <v>1929400</v>
      </c>
    </row>
    <row r="33" spans="11:13" x14ac:dyDescent="0.3">
      <c r="K33" s="297">
        <v>46232</v>
      </c>
      <c r="L33" s="298">
        <v>139.44999999999999</v>
      </c>
      <c r="M33" s="299">
        <v>2648500</v>
      </c>
    </row>
    <row r="34" spans="11:13" x14ac:dyDescent="0.3">
      <c r="K34" s="297">
        <v>46231</v>
      </c>
      <c r="L34" s="298">
        <v>134.87</v>
      </c>
      <c r="M34" s="299">
        <v>2121700</v>
      </c>
    </row>
    <row r="35" spans="11:13" x14ac:dyDescent="0.3">
      <c r="K35" s="297">
        <v>46230</v>
      </c>
      <c r="L35" s="298">
        <v>137.24</v>
      </c>
      <c r="M35" s="299">
        <v>1109000</v>
      </c>
    </row>
    <row r="36" spans="11:13" x14ac:dyDescent="0.3">
      <c r="K36" s="297">
        <v>46227</v>
      </c>
      <c r="L36" s="298">
        <v>135.19999999999999</v>
      </c>
      <c r="M36" s="299">
        <v>971900</v>
      </c>
    </row>
    <row r="37" spans="11:13" x14ac:dyDescent="0.3">
      <c r="K37" s="297">
        <v>46226</v>
      </c>
      <c r="L37" s="298">
        <v>134.86000000000001</v>
      </c>
      <c r="M37" s="299">
        <v>611800</v>
      </c>
    </row>
    <row r="38" spans="11:13" x14ac:dyDescent="0.3">
      <c r="K38" s="297">
        <v>46225</v>
      </c>
      <c r="L38" s="298">
        <v>138.12</v>
      </c>
      <c r="M38" s="299">
        <v>1199800</v>
      </c>
    </row>
    <row r="39" spans="11:13" x14ac:dyDescent="0.3">
      <c r="K39" s="297">
        <v>46224</v>
      </c>
      <c r="L39" s="298">
        <v>134.94999999999999</v>
      </c>
      <c r="M39" s="299">
        <v>1286200</v>
      </c>
    </row>
    <row r="40" spans="11:13" x14ac:dyDescent="0.3">
      <c r="K40" s="297">
        <v>46223</v>
      </c>
      <c r="L40" s="298">
        <v>141.1</v>
      </c>
      <c r="M40" s="299">
        <v>1034100</v>
      </c>
    </row>
    <row r="41" spans="11:13" x14ac:dyDescent="0.3">
      <c r="K41" s="297">
        <v>46220</v>
      </c>
      <c r="L41" s="298">
        <v>142.33000000000001</v>
      </c>
      <c r="M41" s="299">
        <v>802000</v>
      </c>
    </row>
    <row r="42" spans="11:13" x14ac:dyDescent="0.3">
      <c r="K42" s="297">
        <v>46219</v>
      </c>
      <c r="L42" s="298">
        <v>140.93</v>
      </c>
      <c r="M42" s="299">
        <v>898200</v>
      </c>
    </row>
    <row r="43" spans="11:13" x14ac:dyDescent="0.3">
      <c r="K43" s="297">
        <v>46218</v>
      </c>
      <c r="L43" s="298">
        <v>145.69999999999999</v>
      </c>
      <c r="M43" s="299">
        <v>801700</v>
      </c>
    </row>
    <row r="44" spans="11:13" x14ac:dyDescent="0.3">
      <c r="K44" s="297">
        <v>46217</v>
      </c>
      <c r="L44" s="298">
        <v>148.41</v>
      </c>
      <c r="M44" s="299">
        <v>1209700</v>
      </c>
    </row>
    <row r="45" spans="11:13" x14ac:dyDescent="0.3">
      <c r="K45" s="297">
        <v>46216</v>
      </c>
      <c r="L45" s="298">
        <v>154.06</v>
      </c>
      <c r="M45" s="299">
        <v>1305200</v>
      </c>
    </row>
    <row r="46" spans="11:13" x14ac:dyDescent="0.3">
      <c r="K46" s="297">
        <v>46213</v>
      </c>
      <c r="L46" s="298">
        <v>153.29</v>
      </c>
      <c r="M46" s="299">
        <v>1409500</v>
      </c>
    </row>
    <row r="47" spans="11:13" x14ac:dyDescent="0.3">
      <c r="K47" s="297">
        <v>46212</v>
      </c>
      <c r="L47" s="298">
        <v>157.72</v>
      </c>
      <c r="M47" s="299">
        <v>873600</v>
      </c>
    </row>
    <row r="48" spans="11:13" x14ac:dyDescent="0.3">
      <c r="K48" s="297">
        <v>46211</v>
      </c>
      <c r="L48" s="298">
        <v>158.47</v>
      </c>
      <c r="M48" s="299">
        <v>1840700</v>
      </c>
    </row>
    <row r="49" spans="11:13" x14ac:dyDescent="0.3">
      <c r="K49" s="297">
        <v>46210</v>
      </c>
      <c r="L49" s="298">
        <v>170.21</v>
      </c>
      <c r="M49" s="299">
        <v>825700</v>
      </c>
    </row>
    <row r="50" spans="11:13" x14ac:dyDescent="0.3">
      <c r="K50" s="297">
        <v>46209</v>
      </c>
      <c r="L50" s="298">
        <v>170.58</v>
      </c>
      <c r="M50" s="299">
        <v>939000</v>
      </c>
    </row>
    <row r="51" spans="11:13" x14ac:dyDescent="0.3">
      <c r="K51" s="297">
        <v>46205</v>
      </c>
      <c r="L51" s="298">
        <v>177.99</v>
      </c>
      <c r="M51" s="299">
        <v>977800</v>
      </c>
    </row>
    <row r="52" spans="11:13" x14ac:dyDescent="0.3">
      <c r="K52" s="297">
        <v>46204</v>
      </c>
      <c r="L52" s="298">
        <v>174.97</v>
      </c>
      <c r="M52" s="299">
        <v>1883900</v>
      </c>
    </row>
    <row r="53" spans="11:13" x14ac:dyDescent="0.3">
      <c r="K53" s="297">
        <v>46203</v>
      </c>
      <c r="L53" s="298">
        <v>173.41</v>
      </c>
      <c r="M53" s="299">
        <v>884500</v>
      </c>
    </row>
    <row r="54" spans="11:13" x14ac:dyDescent="0.3">
      <c r="K54" s="297">
        <v>46202</v>
      </c>
      <c r="L54" s="298">
        <v>165.47</v>
      </c>
      <c r="M54" s="299">
        <v>1011500</v>
      </c>
    </row>
    <row r="55" spans="11:13" x14ac:dyDescent="0.3">
      <c r="K55" s="297">
        <v>46199</v>
      </c>
      <c r="L55" s="298">
        <v>166.76</v>
      </c>
      <c r="M55" s="299">
        <v>1435100</v>
      </c>
    </row>
    <row r="56" spans="11:13" x14ac:dyDescent="0.3">
      <c r="K56" s="297">
        <v>46198</v>
      </c>
      <c r="L56" s="298">
        <v>165.42</v>
      </c>
      <c r="M56" s="299">
        <v>1521900</v>
      </c>
    </row>
    <row r="57" spans="11:13" x14ac:dyDescent="0.3">
      <c r="K57" s="297">
        <v>46197</v>
      </c>
      <c r="L57" s="298">
        <v>155.79</v>
      </c>
      <c r="M57" s="299">
        <v>1238200</v>
      </c>
    </row>
    <row r="58" spans="11:13" x14ac:dyDescent="0.3">
      <c r="K58" s="297">
        <v>46196</v>
      </c>
      <c r="L58" s="298">
        <v>150.41</v>
      </c>
      <c r="M58" s="299">
        <v>906300</v>
      </c>
    </row>
    <row r="59" spans="11:13" x14ac:dyDescent="0.3">
      <c r="K59" s="297">
        <v>46195</v>
      </c>
      <c r="L59" s="298">
        <v>156.74</v>
      </c>
      <c r="M59" s="299">
        <v>939900</v>
      </c>
    </row>
    <row r="60" spans="11:13" x14ac:dyDescent="0.3">
      <c r="K60" s="297">
        <v>46191</v>
      </c>
      <c r="L60" s="298">
        <v>161.78</v>
      </c>
      <c r="M60" s="299">
        <v>1284700</v>
      </c>
    </row>
    <row r="61" spans="11:13" x14ac:dyDescent="0.3">
      <c r="K61" s="297">
        <v>46190</v>
      </c>
      <c r="L61" s="298">
        <v>150.05000000000001</v>
      </c>
      <c r="M61" s="299">
        <v>826100</v>
      </c>
    </row>
    <row r="62" spans="11:13" x14ac:dyDescent="0.3">
      <c r="K62" s="297">
        <v>46189</v>
      </c>
      <c r="L62" s="298">
        <v>162.72999999999999</v>
      </c>
      <c r="M62" s="299">
        <v>782600</v>
      </c>
    </row>
    <row r="63" spans="11:13" x14ac:dyDescent="0.3">
      <c r="K63" s="297">
        <v>46188</v>
      </c>
      <c r="L63" s="298">
        <v>166.22</v>
      </c>
      <c r="M63" s="299">
        <v>1241400</v>
      </c>
    </row>
    <row r="64" spans="11:13" x14ac:dyDescent="0.3">
      <c r="K64" s="297">
        <v>46185</v>
      </c>
      <c r="L64" s="298">
        <v>162.29</v>
      </c>
      <c r="M64" s="299">
        <v>1343900</v>
      </c>
    </row>
    <row r="65" spans="11:13" x14ac:dyDescent="0.3">
      <c r="K65" s="297">
        <v>46184</v>
      </c>
      <c r="L65" s="298">
        <v>153.88</v>
      </c>
      <c r="M65" s="299">
        <v>1228500</v>
      </c>
    </row>
    <row r="66" spans="11:13" x14ac:dyDescent="0.3">
      <c r="K66" s="297">
        <v>46183</v>
      </c>
      <c r="L66" s="298">
        <v>145.59</v>
      </c>
      <c r="M66" s="299">
        <v>1263700</v>
      </c>
    </row>
    <row r="67" spans="11:13" x14ac:dyDescent="0.3">
      <c r="K67" s="297">
        <v>46182</v>
      </c>
      <c r="L67" s="298">
        <v>143.86000000000001</v>
      </c>
      <c r="M67" s="299">
        <v>1106100</v>
      </c>
    </row>
    <row r="68" spans="11:13" x14ac:dyDescent="0.3">
      <c r="K68" s="297">
        <v>46181</v>
      </c>
      <c r="L68" s="298">
        <v>143.44999999999999</v>
      </c>
      <c r="M68" s="299">
        <v>900200</v>
      </c>
    </row>
    <row r="69" spans="11:13" x14ac:dyDescent="0.3">
      <c r="K69" s="297">
        <v>46178</v>
      </c>
      <c r="L69" s="298">
        <v>142.22999999999999</v>
      </c>
      <c r="M69" s="299">
        <v>797800</v>
      </c>
    </row>
    <row r="70" spans="11:13" x14ac:dyDescent="0.3">
      <c r="K70" s="297">
        <v>46177</v>
      </c>
      <c r="L70" s="298">
        <v>144.47999999999999</v>
      </c>
      <c r="M70" s="299">
        <v>948000</v>
      </c>
    </row>
    <row r="71" spans="11:13" x14ac:dyDescent="0.3">
      <c r="K71" s="297">
        <v>46176</v>
      </c>
      <c r="L71" s="298">
        <v>144.05000000000001</v>
      </c>
      <c r="M71" s="299">
        <v>1075100</v>
      </c>
    </row>
    <row r="72" spans="11:13" x14ac:dyDescent="0.3">
      <c r="K72" s="297">
        <v>46175</v>
      </c>
      <c r="L72" s="298">
        <v>151</v>
      </c>
      <c r="M72" s="299">
        <v>1385500</v>
      </c>
    </row>
    <row r="73" spans="11:13" x14ac:dyDescent="0.3">
      <c r="K73" s="297">
        <v>46174</v>
      </c>
      <c r="L73" s="298">
        <v>158.16</v>
      </c>
      <c r="M73" s="299">
        <v>1045000</v>
      </c>
    </row>
    <row r="74" spans="11:13" x14ac:dyDescent="0.3">
      <c r="K74" s="297">
        <v>46171</v>
      </c>
      <c r="L74" s="298">
        <v>156.96</v>
      </c>
      <c r="M74" s="299">
        <v>1198400</v>
      </c>
    </row>
    <row r="75" spans="11:13" x14ac:dyDescent="0.3">
      <c r="K75" s="297">
        <v>46170</v>
      </c>
      <c r="L75" s="298">
        <v>157.61000000000001</v>
      </c>
      <c r="M75" s="299">
        <v>1307500</v>
      </c>
    </row>
    <row r="76" spans="11:13" x14ac:dyDescent="0.3">
      <c r="K76" s="297">
        <v>46169</v>
      </c>
      <c r="L76" s="298">
        <v>152.09</v>
      </c>
      <c r="M76" s="299">
        <v>1747100</v>
      </c>
    </row>
    <row r="77" spans="11:13" x14ac:dyDescent="0.3">
      <c r="K77" s="297">
        <v>46168</v>
      </c>
      <c r="L77" s="298">
        <v>140.63</v>
      </c>
      <c r="M77" s="299">
        <v>1351000</v>
      </c>
    </row>
    <row r="78" spans="11:13" x14ac:dyDescent="0.3">
      <c r="K78" s="297">
        <v>46164</v>
      </c>
      <c r="L78" s="298">
        <v>140.41</v>
      </c>
      <c r="M78" s="299">
        <v>1194000</v>
      </c>
    </row>
    <row r="79" spans="11:13" x14ac:dyDescent="0.3">
      <c r="K79" s="297">
        <v>46163</v>
      </c>
      <c r="L79" s="298">
        <v>132.65</v>
      </c>
      <c r="M79" s="299">
        <v>1148200</v>
      </c>
    </row>
    <row r="80" spans="11:13" x14ac:dyDescent="0.3">
      <c r="K80" s="297">
        <v>46162</v>
      </c>
      <c r="L80" s="298">
        <v>128.13</v>
      </c>
      <c r="M80" s="299">
        <v>1089600</v>
      </c>
    </row>
    <row r="81" spans="11:13" x14ac:dyDescent="0.3">
      <c r="K81" s="297">
        <v>46161</v>
      </c>
      <c r="L81" s="298">
        <v>126.8</v>
      </c>
      <c r="M81" s="299">
        <v>941700</v>
      </c>
    </row>
    <row r="82" spans="11:13" x14ac:dyDescent="0.3">
      <c r="K82" s="297">
        <v>46160</v>
      </c>
      <c r="L82" s="298">
        <v>129</v>
      </c>
      <c r="M82" s="299">
        <v>1572600</v>
      </c>
    </row>
    <row r="83" spans="11:13" x14ac:dyDescent="0.3">
      <c r="K83" s="297">
        <v>46157</v>
      </c>
      <c r="L83" s="298">
        <v>129.21</v>
      </c>
      <c r="M83" s="299">
        <v>2806600</v>
      </c>
    </row>
    <row r="84" spans="11:13" x14ac:dyDescent="0.3">
      <c r="K84" s="297">
        <v>46156</v>
      </c>
      <c r="L84" s="298">
        <v>118.96</v>
      </c>
      <c r="M84" s="299">
        <v>1789500</v>
      </c>
    </row>
    <row r="85" spans="11:13" x14ac:dyDescent="0.3">
      <c r="K85" s="297">
        <v>46155</v>
      </c>
      <c r="L85" s="298">
        <v>120.61</v>
      </c>
      <c r="M85" s="299">
        <v>1332600</v>
      </c>
    </row>
    <row r="86" spans="11:13" x14ac:dyDescent="0.3">
      <c r="K86" s="297">
        <v>46154</v>
      </c>
      <c r="L86" s="298">
        <v>123.73</v>
      </c>
      <c r="M86" s="299">
        <v>910800</v>
      </c>
    </row>
    <row r="87" spans="11:13" x14ac:dyDescent="0.3">
      <c r="K87" s="297">
        <v>46153</v>
      </c>
      <c r="L87" s="298">
        <v>127.33</v>
      </c>
      <c r="M87" s="299">
        <v>1335000</v>
      </c>
    </row>
    <row r="88" spans="11:13" x14ac:dyDescent="0.3">
      <c r="K88" s="297">
        <v>46150</v>
      </c>
      <c r="L88" s="298">
        <v>129.66999999999999</v>
      </c>
      <c r="M88" s="299">
        <v>1460900</v>
      </c>
    </row>
    <row r="89" spans="11:13" x14ac:dyDescent="0.3">
      <c r="K89" s="297">
        <v>46149</v>
      </c>
      <c r="L89" s="298">
        <v>134.88</v>
      </c>
      <c r="M89" s="299">
        <v>2281200</v>
      </c>
    </row>
    <row r="90" spans="11:13" x14ac:dyDescent="0.3">
      <c r="K90" s="297">
        <v>46148</v>
      </c>
      <c r="L90" s="298">
        <v>145.43</v>
      </c>
      <c r="M90" s="299">
        <v>1469500</v>
      </c>
    </row>
    <row r="91" spans="11:13" x14ac:dyDescent="0.3">
      <c r="K91" s="297">
        <v>46147</v>
      </c>
      <c r="L91" s="298">
        <v>146.74</v>
      </c>
      <c r="M91" s="299">
        <v>1310300</v>
      </c>
    </row>
    <row r="92" spans="11:13" x14ac:dyDescent="0.3">
      <c r="K92" s="297">
        <v>46146</v>
      </c>
      <c r="L92" s="298">
        <v>150.5</v>
      </c>
      <c r="M92" s="299">
        <v>1658800</v>
      </c>
    </row>
    <row r="93" spans="11:13" x14ac:dyDescent="0.3">
      <c r="K93" s="297">
        <v>46143</v>
      </c>
      <c r="L93" s="298">
        <v>160.72999999999999</v>
      </c>
      <c r="M93" s="299">
        <v>1273700</v>
      </c>
    </row>
    <row r="94" spans="11:13" x14ac:dyDescent="0.3">
      <c r="K94" s="297">
        <v>46142</v>
      </c>
      <c r="L94" s="298">
        <v>164.06</v>
      </c>
      <c r="M94" s="299">
        <v>1660500</v>
      </c>
    </row>
    <row r="95" spans="11:13" x14ac:dyDescent="0.3">
      <c r="K95" s="297">
        <v>46141</v>
      </c>
      <c r="L95" s="298">
        <v>171.21</v>
      </c>
      <c r="M95" s="299">
        <v>3790000</v>
      </c>
    </row>
    <row r="96" spans="11:13" x14ac:dyDescent="0.3">
      <c r="K96" s="297">
        <v>46140</v>
      </c>
      <c r="L96" s="298">
        <v>172.97</v>
      </c>
      <c r="M96" s="299">
        <v>2344400</v>
      </c>
    </row>
    <row r="97" spans="11:13" x14ac:dyDescent="0.3">
      <c r="K97" s="297">
        <v>46139</v>
      </c>
      <c r="L97" s="298">
        <v>177.73</v>
      </c>
      <c r="M97" s="299">
        <v>1682600</v>
      </c>
    </row>
    <row r="98" spans="11:13" x14ac:dyDescent="0.3">
      <c r="K98" s="297">
        <v>46136</v>
      </c>
      <c r="L98" s="298">
        <v>189.37</v>
      </c>
      <c r="M98" s="299">
        <v>730200</v>
      </c>
    </row>
    <row r="99" spans="11:13" x14ac:dyDescent="0.3">
      <c r="K99" s="297">
        <v>46135</v>
      </c>
      <c r="L99" s="298">
        <v>186.74</v>
      </c>
      <c r="M99" s="299">
        <v>959000</v>
      </c>
    </row>
    <row r="100" spans="11:13" x14ac:dyDescent="0.3">
      <c r="K100" s="297">
        <v>46134</v>
      </c>
      <c r="L100" s="298">
        <v>190</v>
      </c>
      <c r="M100" s="299">
        <v>1017900</v>
      </c>
    </row>
    <row r="101" spans="11:13" x14ac:dyDescent="0.3">
      <c r="K101" s="297">
        <v>46133</v>
      </c>
      <c r="L101" s="298">
        <v>189.19</v>
      </c>
      <c r="M101" s="299">
        <v>1335300</v>
      </c>
    </row>
    <row r="102" spans="11:13" x14ac:dyDescent="0.3">
      <c r="K102" s="297">
        <v>46132</v>
      </c>
      <c r="L102" s="298">
        <v>199.03</v>
      </c>
      <c r="M102" s="299">
        <v>1123000</v>
      </c>
    </row>
    <row r="103" spans="11:13" x14ac:dyDescent="0.3">
      <c r="K103" s="297">
        <v>46129</v>
      </c>
      <c r="L103" s="298">
        <v>196.34</v>
      </c>
      <c r="M103" s="299">
        <v>1131800</v>
      </c>
    </row>
    <row r="104" spans="11:13" x14ac:dyDescent="0.3">
      <c r="K104" s="297">
        <v>46128</v>
      </c>
      <c r="L104" s="298">
        <v>186.05</v>
      </c>
      <c r="M104" s="299">
        <v>1296900</v>
      </c>
    </row>
    <row r="105" spans="11:13" x14ac:dyDescent="0.3">
      <c r="K105" s="297">
        <v>46127</v>
      </c>
      <c r="L105" s="298">
        <v>191.4</v>
      </c>
      <c r="M105" s="299">
        <v>1115600</v>
      </c>
    </row>
    <row r="106" spans="11:13" x14ac:dyDescent="0.3">
      <c r="K106" s="297">
        <v>46126</v>
      </c>
      <c r="L106" s="298">
        <v>198.08</v>
      </c>
      <c r="M106" s="299">
        <v>1185700</v>
      </c>
    </row>
    <row r="107" spans="11:13" x14ac:dyDescent="0.3">
      <c r="K107" s="297">
        <v>46125</v>
      </c>
      <c r="L107" s="298">
        <v>186.31</v>
      </c>
      <c r="M107" s="299">
        <v>905100</v>
      </c>
    </row>
    <row r="108" spans="11:13" x14ac:dyDescent="0.3">
      <c r="K108" s="297">
        <v>46122</v>
      </c>
      <c r="L108" s="298">
        <v>179.89</v>
      </c>
      <c r="M108" s="299">
        <v>894500</v>
      </c>
    </row>
    <row r="109" spans="11:13" x14ac:dyDescent="0.3">
      <c r="K109" s="297">
        <v>46121</v>
      </c>
      <c r="L109" s="298">
        <v>179.05</v>
      </c>
      <c r="M109" s="299">
        <v>1292000</v>
      </c>
    </row>
    <row r="110" spans="11:13" x14ac:dyDescent="0.3">
      <c r="K110" s="297">
        <v>46120</v>
      </c>
      <c r="L110" s="298">
        <v>168.53</v>
      </c>
      <c r="M110" s="299">
        <v>1443400</v>
      </c>
    </row>
    <row r="111" spans="11:13" x14ac:dyDescent="0.3">
      <c r="K111" s="297">
        <v>46119</v>
      </c>
      <c r="L111" s="298">
        <v>166.04</v>
      </c>
      <c r="M111" s="299">
        <v>1345500</v>
      </c>
    </row>
    <row r="112" spans="11:13" x14ac:dyDescent="0.3">
      <c r="K112" s="297">
        <v>46118</v>
      </c>
      <c r="L112" s="298">
        <v>164.83</v>
      </c>
      <c r="M112" s="299">
        <v>1314500</v>
      </c>
    </row>
    <row r="113" spans="11:13" x14ac:dyDescent="0.3">
      <c r="K113" s="297">
        <v>46114</v>
      </c>
      <c r="L113" s="298">
        <v>152.51</v>
      </c>
      <c r="M113" s="299">
        <v>2401300</v>
      </c>
    </row>
    <row r="114" spans="11:13" x14ac:dyDescent="0.3">
      <c r="K114" s="297">
        <v>46113</v>
      </c>
      <c r="L114" s="298">
        <v>144.87</v>
      </c>
      <c r="M114" s="299">
        <v>1501300</v>
      </c>
    </row>
    <row r="115" spans="11:13" x14ac:dyDescent="0.3">
      <c r="K115" s="297">
        <v>46112</v>
      </c>
      <c r="L115" s="298">
        <v>154.97</v>
      </c>
      <c r="M115" s="299">
        <v>1508100</v>
      </c>
    </row>
    <row r="116" spans="11:13" x14ac:dyDescent="0.3">
      <c r="K116" s="297">
        <v>46111</v>
      </c>
      <c r="L116" s="298">
        <v>154.63999999999999</v>
      </c>
      <c r="M116" s="299">
        <v>893700</v>
      </c>
    </row>
    <row r="117" spans="11:13" x14ac:dyDescent="0.3">
      <c r="K117" s="297">
        <v>46108</v>
      </c>
      <c r="L117" s="298">
        <v>154.46</v>
      </c>
      <c r="M117" s="299">
        <v>1577000</v>
      </c>
    </row>
    <row r="118" spans="11:13" x14ac:dyDescent="0.3">
      <c r="K118" s="297">
        <v>46107</v>
      </c>
      <c r="L118" s="298">
        <v>155.66999999999999</v>
      </c>
      <c r="M118" s="299">
        <v>1549100</v>
      </c>
    </row>
    <row r="119" spans="11:13" x14ac:dyDescent="0.3">
      <c r="K119" s="297">
        <v>46106</v>
      </c>
      <c r="L119" s="298">
        <v>166.31</v>
      </c>
      <c r="M119" s="299">
        <v>1410000</v>
      </c>
    </row>
    <row r="120" spans="11:13" x14ac:dyDescent="0.3">
      <c r="K120" s="297">
        <v>46105</v>
      </c>
      <c r="L120" s="298">
        <v>172.07</v>
      </c>
      <c r="M120" s="299">
        <v>1368500</v>
      </c>
    </row>
    <row r="121" spans="11:13" x14ac:dyDescent="0.3">
      <c r="K121" s="297">
        <v>46104</v>
      </c>
      <c r="L121" s="298">
        <v>183.24</v>
      </c>
      <c r="M121" s="299">
        <v>1148700</v>
      </c>
    </row>
    <row r="122" spans="11:13" x14ac:dyDescent="0.3">
      <c r="K122" s="297">
        <v>46101</v>
      </c>
      <c r="L122" s="298">
        <v>187.79</v>
      </c>
      <c r="M122" s="299">
        <v>1162300</v>
      </c>
    </row>
    <row r="123" spans="11:13" x14ac:dyDescent="0.3">
      <c r="K123" s="297">
        <v>46100</v>
      </c>
      <c r="L123" s="298">
        <v>187.29</v>
      </c>
      <c r="M123" s="299">
        <v>1349700</v>
      </c>
    </row>
    <row r="124" spans="11:13" x14ac:dyDescent="0.3">
      <c r="K124" s="297">
        <v>46099</v>
      </c>
      <c r="L124" s="298">
        <v>191.17</v>
      </c>
      <c r="M124" s="299">
        <v>872900</v>
      </c>
    </row>
    <row r="125" spans="11:13" x14ac:dyDescent="0.3">
      <c r="K125" s="297">
        <v>46098</v>
      </c>
      <c r="L125" s="298">
        <v>198.08</v>
      </c>
      <c r="M125" s="299">
        <v>694300</v>
      </c>
    </row>
    <row r="126" spans="11:13" x14ac:dyDescent="0.3">
      <c r="K126" s="297">
        <v>46097</v>
      </c>
      <c r="L126" s="298">
        <v>199.22</v>
      </c>
      <c r="M126" s="299">
        <v>847800</v>
      </c>
    </row>
    <row r="127" spans="11:13" x14ac:dyDescent="0.3">
      <c r="K127" s="297">
        <v>46094</v>
      </c>
      <c r="L127" s="298">
        <v>203.44</v>
      </c>
      <c r="M127" s="299">
        <v>1468700</v>
      </c>
    </row>
    <row r="128" spans="11:13" x14ac:dyDescent="0.3">
      <c r="K128" s="297">
        <v>46093</v>
      </c>
      <c r="L128" s="298">
        <v>193.11</v>
      </c>
      <c r="M128" s="299">
        <v>1164400</v>
      </c>
    </row>
    <row r="129" spans="11:13" x14ac:dyDescent="0.3">
      <c r="K129" s="297">
        <v>46092</v>
      </c>
      <c r="L129" s="298">
        <v>208.66</v>
      </c>
      <c r="M129" s="299">
        <v>1266100</v>
      </c>
    </row>
    <row r="130" spans="11:13" x14ac:dyDescent="0.3">
      <c r="K130" s="297">
        <v>46091</v>
      </c>
      <c r="L130" s="298">
        <v>217.37</v>
      </c>
      <c r="M130" s="299">
        <v>698900</v>
      </c>
    </row>
    <row r="131" spans="11:13" x14ac:dyDescent="0.3">
      <c r="K131" s="297">
        <v>46090</v>
      </c>
      <c r="L131" s="298">
        <v>224.28</v>
      </c>
      <c r="M131" s="299">
        <v>1095900</v>
      </c>
    </row>
    <row r="132" spans="11:13" x14ac:dyDescent="0.3">
      <c r="K132" s="297">
        <v>46087</v>
      </c>
      <c r="L132" s="298">
        <v>229.17</v>
      </c>
      <c r="M132" s="299">
        <v>905000</v>
      </c>
    </row>
    <row r="133" spans="11:13" x14ac:dyDescent="0.3">
      <c r="K133" s="297">
        <v>46086</v>
      </c>
      <c r="L133" s="298">
        <v>236.34</v>
      </c>
      <c r="M133" s="299">
        <v>810500</v>
      </c>
    </row>
    <row r="134" spans="11:13" x14ac:dyDescent="0.3">
      <c r="K134" s="297">
        <v>46085</v>
      </c>
      <c r="L134" s="298">
        <v>239.34</v>
      </c>
      <c r="M134" s="299">
        <v>467800</v>
      </c>
    </row>
    <row r="135" spans="11:13" x14ac:dyDescent="0.3">
      <c r="K135" s="297">
        <v>46084</v>
      </c>
      <c r="L135" s="298">
        <v>247.21</v>
      </c>
      <c r="M135" s="299">
        <v>954400</v>
      </c>
    </row>
    <row r="136" spans="11:13" x14ac:dyDescent="0.3">
      <c r="K136" s="297">
        <v>46083</v>
      </c>
      <c r="L136" s="298">
        <v>240.2</v>
      </c>
      <c r="M136" s="299">
        <v>1512900</v>
      </c>
    </row>
    <row r="137" spans="11:13" x14ac:dyDescent="0.3">
      <c r="K137" s="297">
        <v>46080</v>
      </c>
      <c r="L137" s="298">
        <v>259.51</v>
      </c>
      <c r="M137" s="299">
        <v>665700</v>
      </c>
    </row>
    <row r="138" spans="11:13" x14ac:dyDescent="0.3">
      <c r="K138" s="297">
        <v>46079</v>
      </c>
      <c r="L138" s="298">
        <v>272</v>
      </c>
      <c r="M138" s="299">
        <v>1138700</v>
      </c>
    </row>
    <row r="139" spans="11:13" x14ac:dyDescent="0.3">
      <c r="K139" s="297">
        <v>46078</v>
      </c>
      <c r="L139" s="298">
        <v>254.2</v>
      </c>
      <c r="M139" s="299">
        <v>1437700</v>
      </c>
    </row>
    <row r="140" spans="11:13" x14ac:dyDescent="0.3">
      <c r="K140" s="297">
        <v>46077</v>
      </c>
      <c r="L140" s="298">
        <v>246.67</v>
      </c>
      <c r="M140" s="299">
        <v>1365200</v>
      </c>
    </row>
    <row r="141" spans="11:13" x14ac:dyDescent="0.3">
      <c r="K141" s="297">
        <v>46076</v>
      </c>
      <c r="L141" s="298">
        <v>248.34</v>
      </c>
      <c r="M141" s="299">
        <v>1182600</v>
      </c>
    </row>
    <row r="142" spans="11:13" x14ac:dyDescent="0.3">
      <c r="K142" s="297">
        <v>46073</v>
      </c>
      <c r="L142" s="298">
        <v>260.89</v>
      </c>
      <c r="M142" s="299">
        <v>1338300</v>
      </c>
    </row>
    <row r="143" spans="11:13" x14ac:dyDescent="0.3">
      <c r="K143" s="297">
        <v>46072</v>
      </c>
      <c r="L143" s="298">
        <v>259.99</v>
      </c>
      <c r="M143" s="299">
        <v>1573100</v>
      </c>
    </row>
    <row r="144" spans="11:13" x14ac:dyDescent="0.3">
      <c r="K144" s="297">
        <v>46071</v>
      </c>
      <c r="L144" s="298">
        <v>279.08</v>
      </c>
      <c r="M144" s="299">
        <v>2874400</v>
      </c>
    </row>
    <row r="145" spans="11:13" x14ac:dyDescent="0.3">
      <c r="K145" s="297">
        <v>46070</v>
      </c>
      <c r="L145" s="298">
        <v>251.78</v>
      </c>
      <c r="M145" s="299">
        <v>2074000</v>
      </c>
    </row>
    <row r="146" spans="11:13" x14ac:dyDescent="0.3">
      <c r="K146" s="297">
        <v>46066</v>
      </c>
      <c r="L146" s="298">
        <v>221.65</v>
      </c>
      <c r="M146" s="299">
        <v>1009300</v>
      </c>
    </row>
    <row r="147" spans="11:13" x14ac:dyDescent="0.3">
      <c r="K147" s="297">
        <v>46065</v>
      </c>
      <c r="L147" s="298">
        <v>224</v>
      </c>
      <c r="M147" s="299">
        <v>1323100</v>
      </c>
    </row>
    <row r="148" spans="11:13" x14ac:dyDescent="0.3">
      <c r="K148" s="297">
        <v>46064</v>
      </c>
      <c r="L148" s="298">
        <v>243.66</v>
      </c>
      <c r="M148" s="299">
        <v>1136600</v>
      </c>
    </row>
    <row r="149" spans="11:13" x14ac:dyDescent="0.3">
      <c r="K149" s="297">
        <v>46063</v>
      </c>
      <c r="L149" s="298">
        <v>259.64</v>
      </c>
      <c r="M149" s="299">
        <v>1099700</v>
      </c>
    </row>
    <row r="150" spans="11:13" x14ac:dyDescent="0.3">
      <c r="K150" s="297">
        <v>46062</v>
      </c>
      <c r="L150" s="298">
        <v>281.75</v>
      </c>
      <c r="M150" s="299">
        <v>726000</v>
      </c>
    </row>
    <row r="151" spans="11:13" x14ac:dyDescent="0.3">
      <c r="K151" s="297">
        <v>46059</v>
      </c>
      <c r="L151" s="298">
        <v>264.01</v>
      </c>
      <c r="M151" s="299">
        <v>578800</v>
      </c>
    </row>
    <row r="152" spans="11:13" x14ac:dyDescent="0.3">
      <c r="K152" s="297">
        <v>46058</v>
      </c>
      <c r="L152" s="298">
        <v>266.17</v>
      </c>
      <c r="M152" s="299">
        <v>714600</v>
      </c>
    </row>
    <row r="153" spans="11:13" x14ac:dyDescent="0.3">
      <c r="K153" s="297">
        <v>46057</v>
      </c>
      <c r="L153" s="298">
        <v>282.86</v>
      </c>
      <c r="M153" s="299">
        <v>752800</v>
      </c>
    </row>
    <row r="154" spans="11:13" x14ac:dyDescent="0.3">
      <c r="K154" s="297">
        <v>46056</v>
      </c>
      <c r="L154" s="298">
        <v>274.72000000000003</v>
      </c>
      <c r="M154" s="299">
        <v>548200</v>
      </c>
    </row>
    <row r="155" spans="11:13" x14ac:dyDescent="0.3">
      <c r="K155" s="297">
        <v>46055</v>
      </c>
      <c r="L155" s="298">
        <v>266.66000000000003</v>
      </c>
      <c r="M155" s="299">
        <v>595200</v>
      </c>
    </row>
    <row r="156" spans="11:13" x14ac:dyDescent="0.3">
      <c r="K156" s="297">
        <v>46052</v>
      </c>
      <c r="L156" s="298">
        <v>265.43</v>
      </c>
      <c r="M156" s="299">
        <v>515400</v>
      </c>
    </row>
    <row r="157" spans="11:13" x14ac:dyDescent="0.3">
      <c r="K157" s="297">
        <v>46051</v>
      </c>
      <c r="L157" s="298">
        <v>272.32</v>
      </c>
      <c r="M157" s="299">
        <v>425600</v>
      </c>
    </row>
    <row r="158" spans="11:13" x14ac:dyDescent="0.3">
      <c r="K158" s="297">
        <v>46050</v>
      </c>
      <c r="L158" s="298">
        <v>272.7</v>
      </c>
      <c r="M158" s="299">
        <v>497500</v>
      </c>
    </row>
    <row r="159" spans="11:13" x14ac:dyDescent="0.3">
      <c r="K159" s="297">
        <v>46049</v>
      </c>
      <c r="L159" s="298">
        <v>274.95999999999998</v>
      </c>
      <c r="M159" s="299">
        <v>406300</v>
      </c>
    </row>
    <row r="160" spans="11:13" x14ac:dyDescent="0.3">
      <c r="K160" s="297">
        <v>46048</v>
      </c>
      <c r="L160" s="298">
        <v>273.7</v>
      </c>
      <c r="M160" s="299">
        <v>548400</v>
      </c>
    </row>
    <row r="161" spans="11:13" x14ac:dyDescent="0.3">
      <c r="K161" s="297">
        <v>46045</v>
      </c>
      <c r="L161" s="298">
        <v>271.39</v>
      </c>
      <c r="M161" s="299">
        <v>363900</v>
      </c>
    </row>
    <row r="162" spans="11:13" x14ac:dyDescent="0.3">
      <c r="K162" s="297">
        <v>46044</v>
      </c>
      <c r="L162" s="298">
        <v>268.37</v>
      </c>
      <c r="M162" s="299">
        <v>380700</v>
      </c>
    </row>
    <row r="163" spans="11:13" x14ac:dyDescent="0.3">
      <c r="K163" s="297">
        <v>46043</v>
      </c>
      <c r="L163" s="298">
        <v>264.2</v>
      </c>
      <c r="M163" s="299">
        <v>546200</v>
      </c>
    </row>
    <row r="164" spans="11:13" x14ac:dyDescent="0.3">
      <c r="K164" s="297">
        <v>46042</v>
      </c>
      <c r="L164" s="298">
        <v>270.24</v>
      </c>
      <c r="M164" s="299">
        <v>597700</v>
      </c>
    </row>
    <row r="165" spans="11:13" x14ac:dyDescent="0.3">
      <c r="K165" s="297">
        <v>46038</v>
      </c>
      <c r="L165" s="298">
        <v>276.31</v>
      </c>
      <c r="M165" s="299">
        <v>628300</v>
      </c>
    </row>
    <row r="166" spans="11:13" x14ac:dyDescent="0.3">
      <c r="K166" s="297">
        <v>46037</v>
      </c>
      <c r="L166" s="298">
        <v>270.73</v>
      </c>
      <c r="M166" s="299">
        <v>583800</v>
      </c>
    </row>
    <row r="167" spans="11:13" x14ac:dyDescent="0.3">
      <c r="K167" s="297">
        <v>46036</v>
      </c>
      <c r="L167" s="298">
        <v>274.61</v>
      </c>
      <c r="M167" s="299">
        <v>511400</v>
      </c>
    </row>
    <row r="168" spans="11:13" x14ac:dyDescent="0.3">
      <c r="K168" s="297">
        <v>46035</v>
      </c>
      <c r="L168" s="298">
        <v>275.67</v>
      </c>
      <c r="M168" s="299">
        <v>493100</v>
      </c>
    </row>
    <row r="169" spans="11:13" x14ac:dyDescent="0.3">
      <c r="K169" s="297">
        <v>46034</v>
      </c>
      <c r="L169" s="298">
        <v>284.66000000000003</v>
      </c>
      <c r="M169" s="299">
        <v>700600</v>
      </c>
    </row>
    <row r="170" spans="11:13" x14ac:dyDescent="0.3">
      <c r="K170" s="297">
        <v>46031</v>
      </c>
      <c r="L170" s="298">
        <v>274</v>
      </c>
      <c r="M170" s="299">
        <v>489200</v>
      </c>
    </row>
    <row r="171" spans="11:13" x14ac:dyDescent="0.3">
      <c r="K171" s="297">
        <v>46030</v>
      </c>
      <c r="L171" s="298">
        <v>268.69</v>
      </c>
      <c r="M171" s="299">
        <v>631200</v>
      </c>
    </row>
    <row r="172" spans="11:13" x14ac:dyDescent="0.3">
      <c r="K172" s="297">
        <v>46029</v>
      </c>
      <c r="L172" s="298">
        <v>258.14</v>
      </c>
      <c r="M172" s="299">
        <v>539200</v>
      </c>
    </row>
    <row r="173" spans="11:13" x14ac:dyDescent="0.3">
      <c r="K173" s="297">
        <v>46028</v>
      </c>
      <c r="L173" s="298">
        <v>268.86</v>
      </c>
      <c r="M173" s="299">
        <v>757900</v>
      </c>
    </row>
    <row r="174" spans="11:13" x14ac:dyDescent="0.3">
      <c r="K174" s="297">
        <v>46027</v>
      </c>
      <c r="L174" s="298">
        <v>257.82</v>
      </c>
      <c r="M174" s="299">
        <v>678400</v>
      </c>
    </row>
    <row r="175" spans="11:13" x14ac:dyDescent="0.3">
      <c r="K175" s="297">
        <v>46024</v>
      </c>
      <c r="L175" s="298">
        <v>256.83999999999997</v>
      </c>
      <c r="M175" s="299">
        <v>896300</v>
      </c>
    </row>
    <row r="176" spans="11:13" x14ac:dyDescent="0.3">
      <c r="K176" s="297">
        <v>46022</v>
      </c>
      <c r="L176" s="298">
        <v>238.49</v>
      </c>
      <c r="M176" s="299">
        <v>445200</v>
      </c>
    </row>
    <row r="177" spans="11:13" x14ac:dyDescent="0.3">
      <c r="K177" s="297">
        <v>46021</v>
      </c>
      <c r="L177" s="298">
        <v>240.33</v>
      </c>
      <c r="M177" s="299">
        <v>617700</v>
      </c>
    </row>
    <row r="178" spans="11:13" x14ac:dyDescent="0.3">
      <c r="K178" s="297">
        <v>46020</v>
      </c>
      <c r="L178" s="298">
        <v>243.51</v>
      </c>
      <c r="M178" s="299">
        <v>607500</v>
      </c>
    </row>
    <row r="179" spans="11:13" x14ac:dyDescent="0.3">
      <c r="K179" s="297">
        <v>46017</v>
      </c>
      <c r="L179" s="298">
        <v>256.19</v>
      </c>
      <c r="M179" s="299">
        <v>510800</v>
      </c>
    </row>
    <row r="180" spans="11:13" x14ac:dyDescent="0.3">
      <c r="K180" s="297">
        <v>46015</v>
      </c>
      <c r="L180" s="298">
        <v>254.32</v>
      </c>
      <c r="M180" s="299">
        <v>229300</v>
      </c>
    </row>
    <row r="181" spans="11:13" x14ac:dyDescent="0.3">
      <c r="K181" s="297">
        <v>46014</v>
      </c>
      <c r="L181" s="298">
        <v>251.53</v>
      </c>
      <c r="M181" s="299">
        <v>655900</v>
      </c>
    </row>
    <row r="182" spans="11:13" x14ac:dyDescent="0.3">
      <c r="K182" s="297">
        <v>46013</v>
      </c>
      <c r="L182" s="298">
        <v>254.35</v>
      </c>
      <c r="M182" s="299">
        <v>500400</v>
      </c>
    </row>
    <row r="183" spans="11:13" x14ac:dyDescent="0.3">
      <c r="K183" s="297">
        <v>46010</v>
      </c>
      <c r="L183" s="298">
        <v>259.2</v>
      </c>
      <c r="M183" s="299">
        <v>1210200</v>
      </c>
    </row>
    <row r="184" spans="11:13" x14ac:dyDescent="0.3">
      <c r="K184" s="297">
        <v>46009</v>
      </c>
      <c r="L184" s="298">
        <v>254.53</v>
      </c>
      <c r="M184" s="299">
        <v>705600</v>
      </c>
    </row>
    <row r="185" spans="11:13" x14ac:dyDescent="0.3">
      <c r="K185" s="297">
        <v>46008</v>
      </c>
      <c r="L185" s="298">
        <v>247.44</v>
      </c>
      <c r="M185" s="299">
        <v>881900</v>
      </c>
    </row>
    <row r="186" spans="11:13" x14ac:dyDescent="0.3">
      <c r="K186" s="297">
        <v>46007</v>
      </c>
      <c r="L186" s="298">
        <v>246.56</v>
      </c>
      <c r="M186" s="299">
        <v>836100</v>
      </c>
    </row>
    <row r="187" spans="11:13" x14ac:dyDescent="0.3">
      <c r="K187" s="297">
        <v>46006</v>
      </c>
      <c r="L187" s="298">
        <v>239.7</v>
      </c>
      <c r="M187" s="299">
        <v>915900</v>
      </c>
    </row>
    <row r="188" spans="11:13" x14ac:dyDescent="0.3">
      <c r="K188" s="297">
        <v>46003</v>
      </c>
      <c r="L188" s="298">
        <v>235.89</v>
      </c>
      <c r="M188" s="299">
        <v>812000</v>
      </c>
    </row>
    <row r="189" spans="11:13" x14ac:dyDescent="0.3">
      <c r="K189" s="297">
        <v>46002</v>
      </c>
      <c r="L189" s="298">
        <v>235.24</v>
      </c>
      <c r="M189" s="299">
        <v>1042900</v>
      </c>
    </row>
    <row r="190" spans="11:13" x14ac:dyDescent="0.3">
      <c r="K190" s="297">
        <v>46001</v>
      </c>
      <c r="L190" s="298">
        <v>247.3</v>
      </c>
      <c r="M190" s="299">
        <v>539500</v>
      </c>
    </row>
    <row r="191" spans="11:13" x14ac:dyDescent="0.3">
      <c r="K191" s="297">
        <v>46000</v>
      </c>
      <c r="L191" s="298">
        <v>247.49</v>
      </c>
      <c r="M191" s="299">
        <v>720600</v>
      </c>
    </row>
    <row r="192" spans="11:13" x14ac:dyDescent="0.3">
      <c r="K192" s="297">
        <v>45999</v>
      </c>
      <c r="L192" s="298">
        <v>245.95</v>
      </c>
      <c r="M192" s="299">
        <v>837400</v>
      </c>
    </row>
    <row r="193" spans="11:13" x14ac:dyDescent="0.3">
      <c r="K193" s="297">
        <v>45996</v>
      </c>
      <c r="L193" s="298">
        <v>257.56</v>
      </c>
      <c r="M193" s="299">
        <v>907400</v>
      </c>
    </row>
    <row r="194" spans="11:13" x14ac:dyDescent="0.3">
      <c r="K194" s="297">
        <v>45995</v>
      </c>
      <c r="L194" s="298">
        <v>262.89</v>
      </c>
      <c r="M194" s="299">
        <v>888400</v>
      </c>
    </row>
    <row r="195" spans="11:13" x14ac:dyDescent="0.3">
      <c r="K195" s="297">
        <v>45994</v>
      </c>
      <c r="L195" s="298">
        <v>268.64</v>
      </c>
      <c r="M195" s="299">
        <v>798200</v>
      </c>
    </row>
    <row r="196" spans="11:13" x14ac:dyDescent="0.3">
      <c r="K196" s="297">
        <v>45993</v>
      </c>
      <c r="L196" s="298">
        <v>274.91000000000003</v>
      </c>
      <c r="M196" s="299">
        <v>954500</v>
      </c>
    </row>
    <row r="197" spans="11:13" x14ac:dyDescent="0.3">
      <c r="K197" s="297">
        <v>45992</v>
      </c>
      <c r="L197" s="298">
        <v>269.23</v>
      </c>
      <c r="M197" s="299">
        <v>1067500</v>
      </c>
    </row>
    <row r="198" spans="11:13" x14ac:dyDescent="0.3">
      <c r="K198" s="297">
        <v>45989</v>
      </c>
      <c r="L198" s="298">
        <v>264.73</v>
      </c>
      <c r="M198" s="299">
        <v>304200</v>
      </c>
    </row>
    <row r="199" spans="11:13" x14ac:dyDescent="0.3">
      <c r="K199" s="297">
        <v>45987</v>
      </c>
      <c r="L199" s="298">
        <v>259.08</v>
      </c>
      <c r="M199" s="299">
        <v>521100</v>
      </c>
    </row>
    <row r="200" spans="11:13" x14ac:dyDescent="0.3">
      <c r="K200" s="297">
        <v>45986</v>
      </c>
      <c r="L200" s="298">
        <v>262.97000000000003</v>
      </c>
      <c r="M200" s="299">
        <v>1241700</v>
      </c>
    </row>
    <row r="201" spans="11:13" x14ac:dyDescent="0.3">
      <c r="K201" s="297">
        <v>45985</v>
      </c>
      <c r="L201" s="298">
        <v>242.73</v>
      </c>
      <c r="M201" s="299">
        <v>670600</v>
      </c>
    </row>
    <row r="202" spans="11:13" x14ac:dyDescent="0.3">
      <c r="K202" s="297">
        <v>45982</v>
      </c>
      <c r="L202" s="298">
        <v>246.01</v>
      </c>
      <c r="M202" s="299">
        <v>854600</v>
      </c>
    </row>
    <row r="203" spans="11:13" x14ac:dyDescent="0.3">
      <c r="K203" s="297">
        <v>45981</v>
      </c>
      <c r="L203" s="298">
        <v>228.49</v>
      </c>
      <c r="M203" s="299">
        <v>929300</v>
      </c>
    </row>
    <row r="204" spans="11:13" x14ac:dyDescent="0.3">
      <c r="K204" s="297">
        <v>45980</v>
      </c>
      <c r="L204" s="298">
        <v>231.82</v>
      </c>
      <c r="M204" s="299">
        <v>609900</v>
      </c>
    </row>
    <row r="205" spans="11:13" x14ac:dyDescent="0.3">
      <c r="K205" s="297">
        <v>45979</v>
      </c>
      <c r="L205" s="298">
        <v>231.1</v>
      </c>
      <c r="M205" s="299">
        <v>792100</v>
      </c>
    </row>
    <row r="206" spans="11:13" x14ac:dyDescent="0.3">
      <c r="K206" s="297">
        <v>45978</v>
      </c>
      <c r="L206" s="298">
        <v>227.29</v>
      </c>
      <c r="M206" s="299">
        <v>575800</v>
      </c>
    </row>
    <row r="207" spans="11:13" x14ac:dyDescent="0.3">
      <c r="K207" s="297">
        <v>45975</v>
      </c>
      <c r="L207" s="298">
        <v>232.89</v>
      </c>
      <c r="M207" s="299">
        <v>524800</v>
      </c>
    </row>
    <row r="208" spans="11:13" x14ac:dyDescent="0.3">
      <c r="K208" s="297">
        <v>45974</v>
      </c>
      <c r="L208" s="298">
        <v>235</v>
      </c>
      <c r="M208" s="299">
        <v>705600</v>
      </c>
    </row>
    <row r="209" spans="11:13" x14ac:dyDescent="0.3">
      <c r="K209" s="297">
        <v>45973</v>
      </c>
      <c r="L209" s="298">
        <v>241.26</v>
      </c>
      <c r="M209" s="299">
        <v>615100</v>
      </c>
    </row>
    <row r="210" spans="11:13" x14ac:dyDescent="0.3">
      <c r="K210" s="297">
        <v>45972</v>
      </c>
      <c r="L210" s="298">
        <v>239.11</v>
      </c>
      <c r="M210" s="299">
        <v>862500</v>
      </c>
    </row>
    <row r="211" spans="11:13" x14ac:dyDescent="0.3">
      <c r="K211" s="297">
        <v>45971</v>
      </c>
      <c r="L211" s="298">
        <v>238</v>
      </c>
      <c r="M211" s="299">
        <v>774500</v>
      </c>
    </row>
    <row r="212" spans="11:13" x14ac:dyDescent="0.3">
      <c r="K212" s="297">
        <v>45968</v>
      </c>
      <c r="L212" s="298">
        <v>238.18</v>
      </c>
      <c r="M212" s="299">
        <v>1087300</v>
      </c>
    </row>
    <row r="213" spans="11:13" x14ac:dyDescent="0.3">
      <c r="K213" s="297">
        <v>45967</v>
      </c>
      <c r="L213" s="298">
        <v>244.6</v>
      </c>
      <c r="M213" s="299">
        <v>1705000</v>
      </c>
    </row>
    <row r="214" spans="11:13" x14ac:dyDescent="0.3">
      <c r="K214" s="297">
        <v>45966</v>
      </c>
      <c r="L214" s="298">
        <v>252.84</v>
      </c>
      <c r="M214" s="299">
        <v>1811200</v>
      </c>
    </row>
    <row r="215" spans="11:13" x14ac:dyDescent="0.3">
      <c r="K215" s="297">
        <v>45965</v>
      </c>
      <c r="L215" s="298">
        <v>237.32</v>
      </c>
      <c r="M215" s="299">
        <v>3741800</v>
      </c>
    </row>
    <row r="216" spans="11:13" x14ac:dyDescent="0.3">
      <c r="K216" s="297">
        <v>45964</v>
      </c>
      <c r="L216" s="298">
        <v>214.07</v>
      </c>
      <c r="M216" s="299">
        <v>1871700</v>
      </c>
    </row>
    <row r="217" spans="11:13" x14ac:dyDescent="0.3">
      <c r="K217" s="297">
        <v>45961</v>
      </c>
      <c r="L217" s="298">
        <v>216.63</v>
      </c>
      <c r="M217" s="299">
        <v>1418600</v>
      </c>
    </row>
    <row r="218" spans="11:13" x14ac:dyDescent="0.3">
      <c r="K218" s="297">
        <v>45960</v>
      </c>
      <c r="L218" s="298">
        <v>215.63</v>
      </c>
      <c r="M218" s="299">
        <v>2255600</v>
      </c>
    </row>
    <row r="219" spans="11:13" x14ac:dyDescent="0.3">
      <c r="K219" s="297">
        <v>45959</v>
      </c>
      <c r="L219" s="298">
        <v>242.57</v>
      </c>
      <c r="M219" s="299">
        <v>453500</v>
      </c>
    </row>
    <row r="220" spans="11:13" x14ac:dyDescent="0.3">
      <c r="K220" s="297">
        <v>45958</v>
      </c>
      <c r="L220" s="298">
        <v>247.35</v>
      </c>
      <c r="M220" s="299">
        <v>388000</v>
      </c>
    </row>
    <row r="221" spans="11:13" x14ac:dyDescent="0.3">
      <c r="K221" s="297">
        <v>45957</v>
      </c>
      <c r="L221" s="298">
        <v>254.97</v>
      </c>
      <c r="M221" s="299">
        <v>409700</v>
      </c>
    </row>
    <row r="222" spans="11:13" x14ac:dyDescent="0.3">
      <c r="K222" s="297">
        <v>45954</v>
      </c>
      <c r="L222" s="298">
        <v>258.99</v>
      </c>
      <c r="M222" s="299">
        <v>426600</v>
      </c>
    </row>
    <row r="223" spans="11:13" x14ac:dyDescent="0.3">
      <c r="K223" s="297">
        <v>45953</v>
      </c>
      <c r="L223" s="298">
        <v>259.14</v>
      </c>
      <c r="M223" s="299">
        <v>711800</v>
      </c>
    </row>
    <row r="224" spans="11:13" x14ac:dyDescent="0.3">
      <c r="K224" s="297">
        <v>45952</v>
      </c>
      <c r="L224" s="298">
        <v>262.89</v>
      </c>
      <c r="M224" s="299">
        <v>875500</v>
      </c>
    </row>
    <row r="225" spans="11:13" x14ac:dyDescent="0.3">
      <c r="K225" s="297">
        <v>45951</v>
      </c>
      <c r="L225" s="298">
        <v>266.89</v>
      </c>
      <c r="M225" s="299">
        <v>894500</v>
      </c>
    </row>
    <row r="226" spans="11:13" x14ac:dyDescent="0.3">
      <c r="K226" s="297">
        <v>45950</v>
      </c>
      <c r="L226" s="298">
        <v>255.54</v>
      </c>
      <c r="M226" s="299">
        <v>577600</v>
      </c>
    </row>
    <row r="227" spans="11:13" x14ac:dyDescent="0.3">
      <c r="K227" s="297">
        <v>45947</v>
      </c>
      <c r="L227" s="298">
        <v>257.04000000000002</v>
      </c>
      <c r="M227" s="299">
        <v>883400</v>
      </c>
    </row>
    <row r="228" spans="11:13" x14ac:dyDescent="0.3">
      <c r="K228" s="297">
        <v>45946</v>
      </c>
      <c r="L228" s="298">
        <v>246.27</v>
      </c>
      <c r="M228" s="299">
        <v>749600</v>
      </c>
    </row>
    <row r="229" spans="11:13" x14ac:dyDescent="0.3">
      <c r="K229" s="297">
        <v>45945</v>
      </c>
      <c r="L229" s="298">
        <v>250.3</v>
      </c>
      <c r="M229" s="299">
        <v>611500</v>
      </c>
    </row>
    <row r="230" spans="11:13" x14ac:dyDescent="0.3">
      <c r="K230" s="297">
        <v>45944</v>
      </c>
      <c r="L230" s="298">
        <v>254.99</v>
      </c>
      <c r="M230" s="299">
        <v>839600</v>
      </c>
    </row>
    <row r="231" spans="11:13" x14ac:dyDescent="0.3">
      <c r="K231" s="297">
        <v>45943</v>
      </c>
      <c r="L231" s="298">
        <v>254.9</v>
      </c>
      <c r="M231" s="299">
        <v>608700</v>
      </c>
    </row>
    <row r="232" spans="11:13" x14ac:dyDescent="0.3">
      <c r="K232" s="297">
        <v>45940</v>
      </c>
      <c r="L232" s="298">
        <v>241.25</v>
      </c>
      <c r="M232" s="299">
        <v>648900</v>
      </c>
    </row>
    <row r="233" spans="11:13" x14ac:dyDescent="0.3">
      <c r="K233" s="297">
        <v>45939</v>
      </c>
      <c r="L233" s="298">
        <v>249.75</v>
      </c>
      <c r="M233" s="299">
        <v>734400</v>
      </c>
    </row>
    <row r="234" spans="11:13" x14ac:dyDescent="0.3">
      <c r="K234" s="297">
        <v>45938</v>
      </c>
      <c r="L234" s="298">
        <v>249.01</v>
      </c>
      <c r="M234" s="299">
        <v>568500</v>
      </c>
    </row>
    <row r="235" spans="11:13" x14ac:dyDescent="0.3">
      <c r="K235" s="297">
        <v>45937</v>
      </c>
      <c r="L235" s="298">
        <v>244.61</v>
      </c>
      <c r="M235" s="299">
        <v>687800</v>
      </c>
    </row>
    <row r="236" spans="11:13" x14ac:dyDescent="0.3">
      <c r="K236" s="297">
        <v>45936</v>
      </c>
      <c r="L236" s="298">
        <v>244.02</v>
      </c>
      <c r="M236" s="299">
        <v>740400</v>
      </c>
    </row>
    <row r="237" spans="11:13" x14ac:dyDescent="0.3">
      <c r="K237" s="297">
        <v>45933</v>
      </c>
      <c r="L237" s="298">
        <v>251.98</v>
      </c>
      <c r="M237" s="299">
        <v>1290700</v>
      </c>
    </row>
    <row r="238" spans="11:13" x14ac:dyDescent="0.3">
      <c r="K238" s="297">
        <v>45932</v>
      </c>
      <c r="L238" s="298">
        <v>265.25</v>
      </c>
      <c r="M238" s="299">
        <v>1155300</v>
      </c>
    </row>
    <row r="239" spans="11:13" x14ac:dyDescent="0.3">
      <c r="K239" s="297">
        <v>45931</v>
      </c>
      <c r="L239" s="298">
        <v>262.56</v>
      </c>
      <c r="M239" s="299">
        <v>1040700</v>
      </c>
    </row>
    <row r="240" spans="11:13" x14ac:dyDescent="0.3">
      <c r="K240" s="297">
        <v>45930</v>
      </c>
      <c r="L240" s="298">
        <v>251.68</v>
      </c>
      <c r="M240" s="299">
        <v>759300</v>
      </c>
    </row>
    <row r="241" spans="11:13" x14ac:dyDescent="0.3">
      <c r="K241" s="297">
        <v>45929</v>
      </c>
      <c r="L241" s="298">
        <v>251.84</v>
      </c>
      <c r="M241" s="299">
        <v>1051500</v>
      </c>
    </row>
    <row r="242" spans="11:13" x14ac:dyDescent="0.3">
      <c r="K242" s="297">
        <v>45926</v>
      </c>
      <c r="L242" s="298">
        <v>247.44</v>
      </c>
      <c r="M242" s="299">
        <v>1148700</v>
      </c>
    </row>
    <row r="243" spans="11:13" x14ac:dyDescent="0.3">
      <c r="K243" s="297">
        <v>45925</v>
      </c>
      <c r="L243" s="298">
        <v>249.23</v>
      </c>
      <c r="M243" s="299">
        <v>844400</v>
      </c>
    </row>
    <row r="244" spans="11:13" x14ac:dyDescent="0.3">
      <c r="K244" s="297">
        <v>45924</v>
      </c>
      <c r="L244" s="298">
        <v>253.07</v>
      </c>
      <c r="M244" s="299">
        <v>715100</v>
      </c>
    </row>
    <row r="245" spans="11:13" x14ac:dyDescent="0.3">
      <c r="K245" s="297">
        <v>45923</v>
      </c>
      <c r="L245" s="298">
        <v>254.06</v>
      </c>
      <c r="M245" s="299">
        <v>711300</v>
      </c>
    </row>
    <row r="246" spans="11:13" x14ac:dyDescent="0.3">
      <c r="K246" s="297">
        <v>45922</v>
      </c>
      <c r="L246" s="298">
        <v>255.83</v>
      </c>
      <c r="M246" s="299">
        <v>648000</v>
      </c>
    </row>
    <row r="247" spans="11:13" x14ac:dyDescent="0.3">
      <c r="K247" s="297">
        <v>45919</v>
      </c>
      <c r="L247" s="298">
        <v>253.55</v>
      </c>
      <c r="M247" s="299">
        <v>1031000</v>
      </c>
    </row>
    <row r="248" spans="11:13" x14ac:dyDescent="0.3">
      <c r="K248" s="297">
        <v>45918</v>
      </c>
      <c r="L248" s="298">
        <v>255.87</v>
      </c>
      <c r="M248" s="299">
        <v>769200</v>
      </c>
    </row>
    <row r="249" spans="11:13" x14ac:dyDescent="0.3">
      <c r="K249" s="297">
        <v>45917</v>
      </c>
      <c r="L249" s="298">
        <v>257.04000000000002</v>
      </c>
      <c r="M249" s="299">
        <v>1012600</v>
      </c>
    </row>
    <row r="250" spans="11:13" x14ac:dyDescent="0.3">
      <c r="K250" s="297">
        <v>45916</v>
      </c>
      <c r="L250" s="298">
        <v>261.14</v>
      </c>
      <c r="M250" s="299">
        <v>759400</v>
      </c>
    </row>
    <row r="251" spans="11:13" x14ac:dyDescent="0.3">
      <c r="K251" s="297">
        <v>45915</v>
      </c>
      <c r="L251" s="298">
        <v>267.52</v>
      </c>
      <c r="M251" s="299">
        <v>965800</v>
      </c>
    </row>
    <row r="252" spans="11:13" x14ac:dyDescent="0.3">
      <c r="K252" s="297">
        <v>45912</v>
      </c>
      <c r="L252" s="298">
        <v>266.02</v>
      </c>
      <c r="M252" s="299">
        <v>801900</v>
      </c>
    </row>
    <row r="253" spans="11:13" x14ac:dyDescent="0.3">
      <c r="K253" s="297">
        <v>45911</v>
      </c>
      <c r="L253" s="298">
        <v>274.7</v>
      </c>
      <c r="M253" s="299">
        <v>827700</v>
      </c>
    </row>
    <row r="254" spans="11:13" x14ac:dyDescent="0.3">
      <c r="K254" s="297">
        <v>45910</v>
      </c>
      <c r="L254" s="298">
        <v>280.64999999999998</v>
      </c>
      <c r="M254" s="299">
        <v>820100</v>
      </c>
    </row>
    <row r="255" spans="11:13" x14ac:dyDescent="0.3">
      <c r="K255" s="297">
        <v>45909</v>
      </c>
      <c r="L255" s="298">
        <v>287.45</v>
      </c>
      <c r="M255" s="299">
        <v>1890400</v>
      </c>
    </row>
    <row r="256" spans="11:13" x14ac:dyDescent="0.3">
      <c r="K256" s="297">
        <v>45908</v>
      </c>
      <c r="L256" s="298">
        <v>304.77999999999997</v>
      </c>
      <c r="M256" s="299">
        <v>1109400</v>
      </c>
    </row>
    <row r="257" spans="11:13" x14ac:dyDescent="0.3">
      <c r="K257" s="297">
        <v>45905</v>
      </c>
      <c r="L257" s="298">
        <v>309.79000000000002</v>
      </c>
      <c r="M257" s="299">
        <v>353800</v>
      </c>
    </row>
    <row r="258" spans="11:13" x14ac:dyDescent="0.3">
      <c r="K258" s="297">
        <v>45904</v>
      </c>
      <c r="L258" s="298">
        <v>308.82</v>
      </c>
      <c r="M258" s="299">
        <v>1449800</v>
      </c>
    </row>
    <row r="259" spans="11:13" x14ac:dyDescent="0.3">
      <c r="K259" s="297">
        <v>45903</v>
      </c>
      <c r="L259" s="298">
        <v>322.83</v>
      </c>
      <c r="M259" s="299">
        <v>590300</v>
      </c>
    </row>
    <row r="260" spans="11:13" x14ac:dyDescent="0.3">
      <c r="K260" s="297">
        <v>45902</v>
      </c>
      <c r="L260" s="298">
        <v>318.61</v>
      </c>
      <c r="M260" s="299">
        <v>1294100</v>
      </c>
    </row>
    <row r="261" spans="11:13" x14ac:dyDescent="0.3">
      <c r="K261" s="297">
        <v>45898</v>
      </c>
      <c r="L261" s="298">
        <v>328.12</v>
      </c>
      <c r="M261" s="299">
        <v>602200</v>
      </c>
    </row>
    <row r="262" spans="11:13" x14ac:dyDescent="0.3">
      <c r="K262" s="297">
        <v>45897</v>
      </c>
      <c r="L262" s="298">
        <v>338.62</v>
      </c>
      <c r="M262" s="299">
        <v>702300</v>
      </c>
    </row>
    <row r="263" spans="11:13" x14ac:dyDescent="0.3">
      <c r="K263" s="297">
        <v>45896</v>
      </c>
      <c r="L263" s="298">
        <v>339.33</v>
      </c>
      <c r="M263" s="299">
        <v>586200</v>
      </c>
    </row>
    <row r="264" spans="11:13" x14ac:dyDescent="0.3">
      <c r="K264" s="297">
        <v>45895</v>
      </c>
      <c r="L264" s="298">
        <v>325.33999999999997</v>
      </c>
      <c r="M264" s="299">
        <v>413800</v>
      </c>
    </row>
    <row r="265" spans="11:13" x14ac:dyDescent="0.3">
      <c r="K265" s="297">
        <v>45894</v>
      </c>
      <c r="L265" s="298">
        <v>320.07</v>
      </c>
      <c r="M265" s="299">
        <v>1051600</v>
      </c>
    </row>
    <row r="266" spans="11:13" x14ac:dyDescent="0.3">
      <c r="K266" s="297">
        <v>45891</v>
      </c>
      <c r="L266" s="298">
        <v>332.19</v>
      </c>
      <c r="M266" s="299">
        <v>980600</v>
      </c>
    </row>
    <row r="267" spans="11:13" x14ac:dyDescent="0.3">
      <c r="K267" s="297">
        <v>45890</v>
      </c>
      <c r="L267" s="298">
        <v>318.77</v>
      </c>
      <c r="M267" s="299">
        <v>739100</v>
      </c>
    </row>
    <row r="268" spans="11:13" x14ac:dyDescent="0.3">
      <c r="K268" s="297">
        <v>45889</v>
      </c>
      <c r="L268" s="298">
        <v>329.26</v>
      </c>
      <c r="M268" s="299">
        <v>446500</v>
      </c>
    </row>
    <row r="269" spans="11:13" x14ac:dyDescent="0.3">
      <c r="K269" s="297">
        <v>45888</v>
      </c>
      <c r="L269" s="298">
        <v>330.92</v>
      </c>
      <c r="M269" s="299">
        <v>566900</v>
      </c>
    </row>
    <row r="270" spans="11:13" x14ac:dyDescent="0.3">
      <c r="K270" s="297">
        <v>45887</v>
      </c>
      <c r="L270" s="298">
        <v>339.63</v>
      </c>
      <c r="M270" s="299">
        <v>513300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7CA60-AD92-4634-8208-6F6637B5C84C}">
  <dimension ref="B2:S66"/>
  <sheetViews>
    <sheetView showGridLines="0" zoomScale="50" zoomScaleNormal="80" workbookViewId="0">
      <pane xSplit="1" ySplit="3" topLeftCell="B4" activePane="bottomRight" state="frozen"/>
      <selection pane="topRight" activeCell="B1" sqref="B1"/>
      <selection pane="bottomLeft" activeCell="A4" sqref="A4"/>
      <selection pane="bottomRight" activeCell="B7" sqref="B7:H9"/>
    </sheetView>
  </sheetViews>
  <sheetFormatPr defaultRowHeight="15" x14ac:dyDescent="0.25"/>
  <cols>
    <col min="1" max="1" width="3.77734375" style="1" customWidth="1"/>
    <col min="2" max="2" width="42.44140625" style="1" bestFit="1" customWidth="1"/>
    <col min="3" max="3" width="3.44140625" style="1" customWidth="1"/>
    <col min="4" max="4" width="14.5546875" style="1" bestFit="1" customWidth="1"/>
    <col min="5" max="5" width="14.109375" style="1" bestFit="1" customWidth="1"/>
    <col min="6" max="9" width="14.5546875" style="1" bestFit="1" customWidth="1"/>
    <col min="10" max="10" width="14.109375" style="1" bestFit="1" customWidth="1"/>
    <col min="11" max="11" width="14.5546875" style="1" bestFit="1" customWidth="1"/>
    <col min="12" max="13" width="16.33203125" style="1" bestFit="1" customWidth="1"/>
    <col min="14" max="14" width="2.77734375" style="1" customWidth="1"/>
    <col min="15" max="16384" width="8.88671875" style="1"/>
  </cols>
  <sheetData>
    <row r="2" spans="2:13" ht="15.6" x14ac:dyDescent="0.3">
      <c r="B2" s="11" t="s">
        <v>3</v>
      </c>
      <c r="C2" s="11"/>
      <c r="D2" s="11"/>
      <c r="E2" s="11"/>
      <c r="F2" s="11"/>
      <c r="G2" s="11"/>
      <c r="H2" s="11"/>
      <c r="I2" s="11"/>
      <c r="J2" s="11"/>
      <c r="K2" s="11"/>
      <c r="L2" s="11"/>
      <c r="M2" s="11"/>
    </row>
    <row r="3" spans="2:13" ht="15.6" x14ac:dyDescent="0.3">
      <c r="B3" s="12" t="s">
        <v>13</v>
      </c>
      <c r="C3" s="11"/>
      <c r="D3" s="13">
        <v>2021</v>
      </c>
      <c r="E3" s="13">
        <f>D3+1</f>
        <v>2022</v>
      </c>
      <c r="F3" s="13">
        <f t="shared" ref="F3:M3" si="0">E3+1</f>
        <v>2023</v>
      </c>
      <c r="G3" s="13">
        <f t="shared" si="0"/>
        <v>2024</v>
      </c>
      <c r="H3" s="21">
        <f t="shared" si="0"/>
        <v>2025</v>
      </c>
      <c r="I3" s="14">
        <f t="shared" si="0"/>
        <v>2026</v>
      </c>
      <c r="J3" s="14">
        <f t="shared" si="0"/>
        <v>2027</v>
      </c>
      <c r="K3" s="14">
        <f t="shared" si="0"/>
        <v>2028</v>
      </c>
      <c r="L3" s="14">
        <f t="shared" si="0"/>
        <v>2029</v>
      </c>
      <c r="M3" s="14">
        <f t="shared" si="0"/>
        <v>2030</v>
      </c>
    </row>
    <row r="4" spans="2:13" ht="16.2" thickBot="1" x14ac:dyDescent="0.35">
      <c r="B4" s="25" t="s">
        <v>14</v>
      </c>
      <c r="C4" s="26"/>
      <c r="D4" s="32">
        <f>SUM(D7:D9)</f>
        <v>282502</v>
      </c>
      <c r="E4" s="32">
        <f t="shared" ref="E4:M4" si="1">SUM(E7:E9)</f>
        <v>357521</v>
      </c>
      <c r="F4" s="32">
        <f t="shared" si="1"/>
        <v>460055</v>
      </c>
      <c r="G4" s="32">
        <f t="shared" si="1"/>
        <v>625807</v>
      </c>
      <c r="H4" s="33">
        <f t="shared" si="1"/>
        <v>696853</v>
      </c>
      <c r="I4" s="32">
        <f t="shared" si="1"/>
        <v>762029.1257659574</v>
      </c>
      <c r="J4" s="32">
        <f t="shared" si="1"/>
        <v>821421.92707382969</v>
      </c>
      <c r="K4" s="32">
        <f t="shared" si="1"/>
        <v>942839.20704528503</v>
      </c>
      <c r="L4" s="32">
        <f t="shared" si="1"/>
        <v>1066183.5242848664</v>
      </c>
      <c r="M4" s="32">
        <f t="shared" si="1"/>
        <v>1211527.9015912781</v>
      </c>
    </row>
    <row r="5" spans="2:13" ht="15.6" thickTop="1" x14ac:dyDescent="0.25">
      <c r="B5" s="15" t="s">
        <v>15</v>
      </c>
      <c r="D5" s="1" t="s">
        <v>16</v>
      </c>
      <c r="E5" s="16">
        <f>E4/D4-1</f>
        <v>0.26555210228600146</v>
      </c>
      <c r="F5" s="16">
        <f t="shared" ref="F5:M5" si="2">F4/E4-1</f>
        <v>0.28679154511203531</v>
      </c>
      <c r="G5" s="16">
        <f t="shared" si="2"/>
        <v>0.36028735694645198</v>
      </c>
      <c r="H5" s="22">
        <f t="shared" si="2"/>
        <v>0.11352701391962694</v>
      </c>
      <c r="I5" s="16">
        <f t="shared" si="2"/>
        <v>9.3529231797749857E-2</v>
      </c>
      <c r="J5" s="16">
        <f t="shared" si="2"/>
        <v>7.7940329706129408E-2</v>
      </c>
      <c r="K5" s="16">
        <f t="shared" si="2"/>
        <v>0.1478135364659463</v>
      </c>
      <c r="L5" s="16">
        <f t="shared" si="2"/>
        <v>0.13082221901454827</v>
      </c>
      <c r="M5" s="16">
        <f t="shared" si="2"/>
        <v>0.13632210027246505</v>
      </c>
    </row>
    <row r="6" spans="2:13" x14ac:dyDescent="0.25">
      <c r="H6" s="3"/>
    </row>
    <row r="7" spans="2:13" x14ac:dyDescent="0.25">
      <c r="B7" s="1" t="s">
        <v>17</v>
      </c>
      <c r="D7" s="138">
        <f>D13</f>
        <v>130676</v>
      </c>
      <c r="E7" s="138">
        <f t="shared" ref="E7:H7" si="3">E13</f>
        <v>158614</v>
      </c>
      <c r="F7" s="138">
        <f t="shared" si="3"/>
        <v>207077</v>
      </c>
      <c r="G7" s="138">
        <f t="shared" si="3"/>
        <v>288354</v>
      </c>
      <c r="H7" s="138">
        <f t="shared" si="3"/>
        <v>321782</v>
      </c>
      <c r="I7" s="181">
        <f t="shared" ref="I7:M7" si="4">I13</f>
        <v>361803.40576595749</v>
      </c>
      <c r="J7" s="138">
        <f t="shared" si="4"/>
        <v>394551.33627382974</v>
      </c>
      <c r="K7" s="138">
        <f t="shared" si="4"/>
        <v>453049.12854228512</v>
      </c>
      <c r="L7" s="138">
        <f t="shared" si="4"/>
        <v>520307.89148755639</v>
      </c>
      <c r="M7" s="138">
        <f t="shared" si="4"/>
        <v>599998.62547499686</v>
      </c>
    </row>
    <row r="8" spans="2:13" x14ac:dyDescent="0.25">
      <c r="B8" s="1" t="s">
        <v>18</v>
      </c>
      <c r="D8" s="138">
        <f>D20</f>
        <v>81529</v>
      </c>
      <c r="E8" s="138">
        <f t="shared" ref="E8:H8" si="5">E20</f>
        <v>119011</v>
      </c>
      <c r="F8" s="138">
        <f t="shared" si="5"/>
        <v>157138</v>
      </c>
      <c r="G8" s="138">
        <f t="shared" si="5"/>
        <v>217630</v>
      </c>
      <c r="H8" s="138">
        <f t="shared" si="5"/>
        <v>247619</v>
      </c>
      <c r="I8" s="181">
        <f t="shared" ref="I8:M8" si="6">I20</f>
        <v>270282.76</v>
      </c>
      <c r="J8" s="138">
        <f t="shared" si="6"/>
        <v>290588.20120000001</v>
      </c>
      <c r="K8" s="138">
        <f t="shared" si="6"/>
        <v>345742.041111</v>
      </c>
      <c r="L8" s="138">
        <f t="shared" si="6"/>
        <v>393906.63465746999</v>
      </c>
      <c r="M8" s="138">
        <f t="shared" si="6"/>
        <v>451480.89801364439</v>
      </c>
    </row>
    <row r="9" spans="2:13" x14ac:dyDescent="0.25">
      <c r="B9" s="1" t="s">
        <v>19</v>
      </c>
      <c r="D9" s="138">
        <f>D27</f>
        <v>70297</v>
      </c>
      <c r="E9" s="138">
        <f t="shared" ref="E9:H9" si="7">E27</f>
        <v>79896</v>
      </c>
      <c r="F9" s="138">
        <f t="shared" si="7"/>
        <v>95840</v>
      </c>
      <c r="G9" s="138">
        <f t="shared" si="7"/>
        <v>119823</v>
      </c>
      <c r="H9" s="138">
        <f t="shared" si="7"/>
        <v>127452</v>
      </c>
      <c r="I9" s="181">
        <f t="shared" ref="I9:M9" si="8">I27</f>
        <v>129942.95999999999</v>
      </c>
      <c r="J9" s="138">
        <f t="shared" si="8"/>
        <v>136282.38959999999</v>
      </c>
      <c r="K9" s="138">
        <f t="shared" si="8"/>
        <v>144048.037392</v>
      </c>
      <c r="L9" s="138">
        <f t="shared" si="8"/>
        <v>151968.99813984</v>
      </c>
      <c r="M9" s="138">
        <f t="shared" si="8"/>
        <v>160048.37810263681</v>
      </c>
    </row>
    <row r="10" spans="2:13" x14ac:dyDescent="0.25">
      <c r="B10" s="18"/>
      <c r="C10" s="18"/>
      <c r="D10" s="18"/>
      <c r="E10" s="18"/>
      <c r="F10" s="18"/>
      <c r="G10" s="18"/>
      <c r="H10" s="4"/>
      <c r="I10" s="18"/>
      <c r="J10" s="18"/>
      <c r="K10" s="18"/>
      <c r="L10" s="18"/>
      <c r="M10" s="18"/>
    </row>
    <row r="11" spans="2:13" ht="16.2" thickBot="1" x14ac:dyDescent="0.35">
      <c r="B11" s="19" t="s">
        <v>20</v>
      </c>
      <c r="C11" s="20"/>
      <c r="D11" s="20"/>
      <c r="E11" s="20"/>
      <c r="F11" s="20"/>
      <c r="G11" s="20"/>
      <c r="H11" s="23"/>
      <c r="I11" s="20"/>
      <c r="J11" s="20"/>
      <c r="K11" s="20"/>
      <c r="L11" s="20"/>
      <c r="M11" s="20"/>
    </row>
    <row r="12" spans="2:13" x14ac:dyDescent="0.25">
      <c r="H12" s="3"/>
    </row>
    <row r="13" spans="2:13" ht="15.6" thickBot="1" x14ac:dyDescent="0.3">
      <c r="B13" s="17" t="s">
        <v>17</v>
      </c>
      <c r="C13" s="17"/>
      <c r="D13" s="28">
        <v>130676</v>
      </c>
      <c r="E13" s="28">
        <v>158614</v>
      </c>
      <c r="F13" s="28">
        <v>207077</v>
      </c>
      <c r="G13" s="28">
        <v>288354</v>
      </c>
      <c r="H13" s="29">
        <v>321782</v>
      </c>
      <c r="I13" s="27">
        <f>H13*(1+I15)</f>
        <v>361803.40576595749</v>
      </c>
      <c r="J13" s="27">
        <f t="shared" ref="J13:M13" si="9">I13*(1+J15)</f>
        <v>394551.33627382974</v>
      </c>
      <c r="K13" s="27">
        <f t="shared" si="9"/>
        <v>453049.12854228512</v>
      </c>
      <c r="L13" s="27">
        <f t="shared" si="9"/>
        <v>520307.89148755639</v>
      </c>
      <c r="M13" s="27">
        <f t="shared" si="9"/>
        <v>599998.62547499686</v>
      </c>
    </row>
    <row r="14" spans="2:13" x14ac:dyDescent="0.25">
      <c r="H14" s="3"/>
    </row>
    <row r="15" spans="2:13" x14ac:dyDescent="0.25">
      <c r="B15" s="18" t="s">
        <v>21</v>
      </c>
      <c r="C15" s="18"/>
      <c r="D15" s="36" t="str">
        <f>D17</f>
        <v>-</v>
      </c>
      <c r="E15" s="36">
        <f t="shared" ref="E15:H15" si="10">E17</f>
        <v>0.21379595335027091</v>
      </c>
      <c r="F15" s="36">
        <f t="shared" si="10"/>
        <v>0.30554049453389998</v>
      </c>
      <c r="G15" s="36">
        <f t="shared" si="10"/>
        <v>0.3924965109596914</v>
      </c>
      <c r="H15" s="37">
        <f t="shared" si="10"/>
        <v>0.1159269509006291</v>
      </c>
      <c r="I15" s="36">
        <f>INDEX(I16:I18,MATCH(Cover!$C$23,'Revenue Buildout'!$B$16:$B$18,0))</f>
        <v>0.12437428372611725</v>
      </c>
      <c r="J15" s="36">
        <f>INDEX(J16:J18,MATCH(Cover!$C$23,'Revenue Buildout'!$B$16:$B$18,0))</f>
        <v>9.0513052077392908E-2</v>
      </c>
      <c r="K15" s="36">
        <f>INDEX(K16:K18,MATCH(Cover!$C$23,'Revenue Buildout'!$B$16:$B$18,0))</f>
        <v>0.14826408350536235</v>
      </c>
      <c r="L15" s="36">
        <f>INDEX(L16:L18,MATCH(Cover!$C$23,'Revenue Buildout'!$B$16:$B$18,0))</f>
        <v>0.14845798989103165</v>
      </c>
      <c r="M15" s="36">
        <f>INDEX(M16:M18,MATCH(Cover!$C$23,'Revenue Buildout'!$B$16:$B$18,0))</f>
        <v>0.1531607251998528</v>
      </c>
    </row>
    <row r="16" spans="2:13" ht="15.6" x14ac:dyDescent="0.3">
      <c r="B16" s="9" t="s">
        <v>22</v>
      </c>
      <c r="H16" s="3"/>
      <c r="I16" s="61">
        <f>I17-$P$17</f>
        <v>0.11437428372611726</v>
      </c>
      <c r="J16" s="61">
        <f t="shared" ref="J16:M16" si="11">J17-$P$17</f>
        <v>8.0513052077392913E-2</v>
      </c>
      <c r="K16" s="61">
        <f t="shared" si="11"/>
        <v>0.13826408350536235</v>
      </c>
      <c r="L16" s="61">
        <f t="shared" si="11"/>
        <v>0.13845798989103164</v>
      </c>
      <c r="M16" s="61">
        <f t="shared" si="11"/>
        <v>0.14316072519985279</v>
      </c>
    </row>
    <row r="17" spans="2:16" ht="15.6" x14ac:dyDescent="0.3">
      <c r="B17" s="9" t="s">
        <v>23</v>
      </c>
      <c r="D17" s="1" t="s">
        <v>16</v>
      </c>
      <c r="E17" s="34">
        <f>E13/D13-1</f>
        <v>0.21379595335027091</v>
      </c>
      <c r="F17" s="34">
        <f t="shared" ref="F17:H17" si="12">F13/E13-1</f>
        <v>0.30554049453389998</v>
      </c>
      <c r="G17" s="34">
        <f t="shared" si="12"/>
        <v>0.3924965109596914</v>
      </c>
      <c r="H17" s="35">
        <f t="shared" si="12"/>
        <v>0.1159269509006291</v>
      </c>
      <c r="I17" s="275">
        <f>I47</f>
        <v>0.12437428372611725</v>
      </c>
      <c r="J17" s="275">
        <f t="shared" ref="J17:M17" si="13">J47</f>
        <v>9.0513052077392908E-2</v>
      </c>
      <c r="K17" s="275">
        <f t="shared" si="13"/>
        <v>0.14826408350536235</v>
      </c>
      <c r="L17" s="275">
        <f t="shared" si="13"/>
        <v>0.14845798989103165</v>
      </c>
      <c r="M17" s="275">
        <f t="shared" si="13"/>
        <v>0.1531607251998528</v>
      </c>
      <c r="O17" s="38" t="s">
        <v>25</v>
      </c>
      <c r="P17" s="39">
        <v>0.01</v>
      </c>
    </row>
    <row r="18" spans="2:16" ht="15.6" x14ac:dyDescent="0.3">
      <c r="B18" s="9" t="s">
        <v>24</v>
      </c>
      <c r="H18" s="3"/>
      <c r="I18" s="61">
        <f>I17+$P$17</f>
        <v>0.13437428372611726</v>
      </c>
      <c r="J18" s="61">
        <f t="shared" ref="J18:M18" si="14">J17+$P$17</f>
        <v>0.1005130520773929</v>
      </c>
      <c r="K18" s="61">
        <f t="shared" si="14"/>
        <v>0.15826408350536236</v>
      </c>
      <c r="L18" s="61">
        <f t="shared" si="14"/>
        <v>0.15845798989103166</v>
      </c>
      <c r="M18" s="61">
        <f t="shared" si="14"/>
        <v>0.16316072519985281</v>
      </c>
    </row>
    <row r="19" spans="2:16" x14ac:dyDescent="0.25">
      <c r="H19" s="3"/>
    </row>
    <row r="20" spans="2:16" ht="15.6" thickBot="1" x14ac:dyDescent="0.3">
      <c r="B20" s="17" t="s">
        <v>18</v>
      </c>
      <c r="C20" s="17"/>
      <c r="D20" s="28">
        <v>81529</v>
      </c>
      <c r="E20" s="28">
        <v>119011</v>
      </c>
      <c r="F20" s="28">
        <v>157138</v>
      </c>
      <c r="G20" s="28">
        <v>217630</v>
      </c>
      <c r="H20" s="29">
        <v>247619</v>
      </c>
      <c r="I20" s="27">
        <f>H20*(1+I22)</f>
        <v>270282.76</v>
      </c>
      <c r="J20" s="27">
        <f t="shared" ref="J20:M20" si="15">I20*(1+J22)</f>
        <v>290588.20120000001</v>
      </c>
      <c r="K20" s="27">
        <f t="shared" si="15"/>
        <v>345742.041111</v>
      </c>
      <c r="L20" s="27">
        <f t="shared" si="15"/>
        <v>393906.63465746999</v>
      </c>
      <c r="M20" s="27">
        <f t="shared" si="15"/>
        <v>451480.89801364439</v>
      </c>
    </row>
    <row r="21" spans="2:16" x14ac:dyDescent="0.25">
      <c r="H21" s="3"/>
    </row>
    <row r="22" spans="2:16" x14ac:dyDescent="0.25">
      <c r="B22" s="18" t="s">
        <v>21</v>
      </c>
      <c r="C22" s="18"/>
      <c r="D22" s="36" t="str">
        <f>D24</f>
        <v>-</v>
      </c>
      <c r="E22" s="36">
        <f t="shared" ref="E22:H22" si="16">E24</f>
        <v>0.45973825264629764</v>
      </c>
      <c r="F22" s="36">
        <f t="shared" si="16"/>
        <v>0.32036534437993125</v>
      </c>
      <c r="G22" s="36">
        <f t="shared" si="16"/>
        <v>0.38496098970331816</v>
      </c>
      <c r="H22" s="37">
        <f t="shared" si="16"/>
        <v>0.13779809768873785</v>
      </c>
      <c r="I22" s="36">
        <f>INDEX(I23:I25,MATCH(Cover!$C$23,'Revenue Buildout'!$B$16:$B$18,0))</f>
        <v>9.152674067821942E-2</v>
      </c>
      <c r="J22" s="36">
        <f>INDEX(J23:J25,MATCH(Cover!$C$23,'Revenue Buildout'!$B$16:$B$18,0))</f>
        <v>7.5126660686756441E-2</v>
      </c>
      <c r="K22" s="36">
        <f>INDEX(K23:K25,MATCH(Cover!$C$23,'Revenue Buildout'!$B$16:$B$18,0))</f>
        <v>0.18980068593025856</v>
      </c>
      <c r="L22" s="36">
        <f>INDEX(L23:L25,MATCH(Cover!$C$23,'Revenue Buildout'!$B$16:$B$18,0))</f>
        <v>0.1393078880187637</v>
      </c>
      <c r="M22" s="36">
        <f>INDEX(M23:M25,MATCH(Cover!$C$23,'Revenue Buildout'!$B$16:$B$18,0))</f>
        <v>0.1461622077176723</v>
      </c>
    </row>
    <row r="23" spans="2:16" ht="15.6" x14ac:dyDescent="0.3">
      <c r="B23" s="9" t="s">
        <v>22</v>
      </c>
      <c r="H23" s="3"/>
      <c r="I23" s="61">
        <f>I24-$P$24</f>
        <v>8.1526740678219425E-2</v>
      </c>
      <c r="J23" s="61">
        <f t="shared" ref="J23:M23" si="17">J24-$P$24</f>
        <v>6.5126660686756446E-2</v>
      </c>
      <c r="K23" s="61">
        <f t="shared" si="17"/>
        <v>0.17980068593025855</v>
      </c>
      <c r="L23" s="61">
        <f t="shared" si="17"/>
        <v>0.12930788801876369</v>
      </c>
      <c r="M23" s="61">
        <f t="shared" si="17"/>
        <v>0.13616220771767229</v>
      </c>
    </row>
    <row r="24" spans="2:16" ht="15.6" x14ac:dyDescent="0.3">
      <c r="B24" s="9" t="s">
        <v>23</v>
      </c>
      <c r="D24" s="1" t="s">
        <v>16</v>
      </c>
      <c r="E24" s="34">
        <f>E20/D20-1</f>
        <v>0.45973825264629764</v>
      </c>
      <c r="F24" s="34">
        <f t="shared" ref="F24:H24" si="18">F20/E20-1</f>
        <v>0.32036534437993125</v>
      </c>
      <c r="G24" s="34">
        <f t="shared" si="18"/>
        <v>0.38496098970331816</v>
      </c>
      <c r="H24" s="35">
        <f t="shared" si="18"/>
        <v>0.13779809768873785</v>
      </c>
      <c r="I24" s="275">
        <f>I57</f>
        <v>9.152674067821942E-2</v>
      </c>
      <c r="J24" s="275">
        <f t="shared" ref="J24:M24" si="19">J57</f>
        <v>7.5126660686756441E-2</v>
      </c>
      <c r="K24" s="275">
        <f t="shared" si="19"/>
        <v>0.18980068593025856</v>
      </c>
      <c r="L24" s="275">
        <f t="shared" si="19"/>
        <v>0.1393078880187637</v>
      </c>
      <c r="M24" s="275">
        <f t="shared" si="19"/>
        <v>0.1461622077176723</v>
      </c>
      <c r="O24" s="38" t="s">
        <v>25</v>
      </c>
      <c r="P24" s="39">
        <v>0.01</v>
      </c>
    </row>
    <row r="25" spans="2:16" ht="15.6" x14ac:dyDescent="0.3">
      <c r="B25" s="9" t="s">
        <v>24</v>
      </c>
      <c r="H25" s="3"/>
      <c r="I25" s="61">
        <f>I24+$P$24</f>
        <v>0.10152674067821942</v>
      </c>
      <c r="J25" s="61">
        <f t="shared" ref="J25:M25" si="20">J24+$P$24</f>
        <v>8.5126660686756436E-2</v>
      </c>
      <c r="K25" s="61">
        <f t="shared" si="20"/>
        <v>0.19980068593025857</v>
      </c>
      <c r="L25" s="61">
        <f t="shared" si="20"/>
        <v>0.14930788801876371</v>
      </c>
      <c r="M25" s="61">
        <f t="shared" si="20"/>
        <v>0.15616220771767231</v>
      </c>
    </row>
    <row r="26" spans="2:16" x14ac:dyDescent="0.25">
      <c r="H26" s="3"/>
    </row>
    <row r="27" spans="2:16" ht="15.6" thickBot="1" x14ac:dyDescent="0.3">
      <c r="B27" s="17" t="s">
        <v>19</v>
      </c>
      <c r="C27" s="17"/>
      <c r="D27" s="28">
        <v>70297</v>
      </c>
      <c r="E27" s="28">
        <v>79896</v>
      </c>
      <c r="F27" s="28">
        <v>95840</v>
      </c>
      <c r="G27" s="28">
        <v>119823</v>
      </c>
      <c r="H27" s="29">
        <v>127452</v>
      </c>
      <c r="I27" s="27">
        <f>H27*(1+I29)</f>
        <v>129942.95999999999</v>
      </c>
      <c r="J27" s="27">
        <f t="shared" ref="J27:M27" si="21">I27*(1+J29)</f>
        <v>136282.38959999999</v>
      </c>
      <c r="K27" s="27">
        <f t="shared" si="21"/>
        <v>144048.037392</v>
      </c>
      <c r="L27" s="27">
        <f t="shared" si="21"/>
        <v>151968.99813984</v>
      </c>
      <c r="M27" s="27">
        <f t="shared" si="21"/>
        <v>160048.37810263681</v>
      </c>
    </row>
    <row r="28" spans="2:16" x14ac:dyDescent="0.25">
      <c r="H28" s="3"/>
    </row>
    <row r="29" spans="2:16" x14ac:dyDescent="0.25">
      <c r="B29" s="18" t="s">
        <v>21</v>
      </c>
      <c r="C29" s="18"/>
      <c r="D29" s="36" t="str">
        <f>D31</f>
        <v>-</v>
      </c>
      <c r="E29" s="36">
        <f t="shared" ref="E29:H29" si="22">E31</f>
        <v>0.13654921262642783</v>
      </c>
      <c r="F29" s="36">
        <f t="shared" si="22"/>
        <v>0.19955942725543196</v>
      </c>
      <c r="G29" s="36">
        <f t="shared" si="22"/>
        <v>0.25023998330550912</v>
      </c>
      <c r="H29" s="37">
        <f t="shared" si="22"/>
        <v>6.3668911644675807E-2</v>
      </c>
      <c r="I29" s="36">
        <f>INDEX(I30:I32,MATCH(Cover!$C$23,'Revenue Buildout'!$B$16:$B$18,0))</f>
        <v>1.9544299030223033E-2</v>
      </c>
      <c r="J29" s="36">
        <f>INDEX(J30:J32,MATCH(Cover!$C$23,'Revenue Buildout'!$B$16:$B$18,0))</f>
        <v>4.8786248981860902E-2</v>
      </c>
      <c r="K29" s="36">
        <f>INDEX(K30:K32,MATCH(Cover!$C$23,'Revenue Buildout'!$B$16:$B$18,0))</f>
        <v>5.6982034251034319E-2</v>
      </c>
      <c r="L29" s="36">
        <f>INDEX(L30:L32,MATCH(Cover!$C$23,'Revenue Buildout'!$B$16:$B$18,0))</f>
        <v>5.4988328138651177E-2</v>
      </c>
      <c r="M29" s="36">
        <f>INDEX(M30:M32,MATCH(Cover!$C$23,'Revenue Buildout'!$B$16:$B$18,0))</f>
        <v>5.3164658987632896E-2</v>
      </c>
    </row>
    <row r="30" spans="2:16" ht="15.6" x14ac:dyDescent="0.3">
      <c r="B30" s="9" t="s">
        <v>22</v>
      </c>
      <c r="H30" s="3"/>
      <c r="I30" s="61">
        <f>I31-$P$31</f>
        <v>9.5442990302230333E-3</v>
      </c>
      <c r="J30" s="61">
        <f t="shared" ref="J30:M30" si="23">J31-$P$31</f>
        <v>3.87862489818609E-2</v>
      </c>
      <c r="K30" s="61">
        <f t="shared" si="23"/>
        <v>4.6982034251034317E-2</v>
      </c>
      <c r="L30" s="61">
        <f t="shared" si="23"/>
        <v>4.4988328138651175E-2</v>
      </c>
      <c r="M30" s="61">
        <f t="shared" si="23"/>
        <v>4.3164658987632894E-2</v>
      </c>
    </row>
    <row r="31" spans="2:16" ht="15.6" x14ac:dyDescent="0.3">
      <c r="B31" s="9" t="s">
        <v>23</v>
      </c>
      <c r="D31" s="1" t="s">
        <v>16</v>
      </c>
      <c r="E31" s="34">
        <f>E27/D27-1</f>
        <v>0.13654921262642783</v>
      </c>
      <c r="F31" s="34">
        <f t="shared" ref="F31:H31" si="24">F27/E27-1</f>
        <v>0.19955942725543196</v>
      </c>
      <c r="G31" s="34">
        <f t="shared" si="24"/>
        <v>0.25023998330550912</v>
      </c>
      <c r="H31" s="35">
        <f t="shared" si="24"/>
        <v>6.3668911644675807E-2</v>
      </c>
      <c r="I31" s="275">
        <f>I66</f>
        <v>1.9544299030223033E-2</v>
      </c>
      <c r="J31" s="275">
        <f t="shared" ref="J31:M31" si="25">J66</f>
        <v>4.8786248981860902E-2</v>
      </c>
      <c r="K31" s="275">
        <f t="shared" si="25"/>
        <v>5.6982034251034319E-2</v>
      </c>
      <c r="L31" s="275">
        <f t="shared" si="25"/>
        <v>5.4988328138651177E-2</v>
      </c>
      <c r="M31" s="275">
        <f t="shared" si="25"/>
        <v>5.3164658987632896E-2</v>
      </c>
      <c r="O31" s="38" t="s">
        <v>25</v>
      </c>
      <c r="P31" s="39">
        <v>0.01</v>
      </c>
    </row>
    <row r="32" spans="2:16" ht="15.6" x14ac:dyDescent="0.3">
      <c r="B32" s="9" t="s">
        <v>24</v>
      </c>
      <c r="H32" s="3"/>
      <c r="I32" s="61">
        <f>I31+$P$31</f>
        <v>2.9544299030223035E-2</v>
      </c>
      <c r="J32" s="61">
        <f t="shared" ref="J32:M32" si="26">J31+$P$31</f>
        <v>5.8786248981860904E-2</v>
      </c>
      <c r="K32" s="61">
        <f t="shared" si="26"/>
        <v>6.6982034251034314E-2</v>
      </c>
      <c r="L32" s="61">
        <f t="shared" si="26"/>
        <v>6.4988328138651172E-2</v>
      </c>
      <c r="M32" s="61">
        <f t="shared" si="26"/>
        <v>6.3164658987632891E-2</v>
      </c>
    </row>
    <row r="34" spans="4:13" ht="15.6" x14ac:dyDescent="0.3">
      <c r="D34" s="325" t="s">
        <v>212</v>
      </c>
      <c r="E34" s="325"/>
      <c r="F34" s="325"/>
      <c r="G34" s="325"/>
      <c r="H34" s="326"/>
      <c r="I34" s="180">
        <v>2026</v>
      </c>
      <c r="J34" s="180">
        <f>I34+1</f>
        <v>2027</v>
      </c>
      <c r="K34" s="180">
        <f t="shared" ref="K34:M34" si="27">J34+1</f>
        <v>2028</v>
      </c>
      <c r="L34" s="180">
        <f t="shared" si="27"/>
        <v>2029</v>
      </c>
      <c r="M34" s="180">
        <f t="shared" si="27"/>
        <v>2030</v>
      </c>
    </row>
    <row r="35" spans="4:13" x14ac:dyDescent="0.25">
      <c r="D35" s="323" t="s">
        <v>216</v>
      </c>
      <c r="E35" s="323"/>
      <c r="F35" s="323"/>
      <c r="G35" s="323"/>
      <c r="H35" s="324"/>
      <c r="I35" s="30">
        <f>I45*0.06</f>
        <v>338883.40576595743</v>
      </c>
      <c r="J35" s="30">
        <f t="shared" ref="J35:M35" si="28">J45*0.06</f>
        <v>368193.33627382969</v>
      </c>
      <c r="K35" s="30">
        <f t="shared" si="28"/>
        <v>422737.42854228505</v>
      </c>
      <c r="L35" s="30">
        <f t="shared" si="28"/>
        <v>485449.43648755626</v>
      </c>
      <c r="M35" s="30">
        <f t="shared" si="28"/>
        <v>559911.40222499671</v>
      </c>
    </row>
    <row r="36" spans="4:13" x14ac:dyDescent="0.25">
      <c r="D36" s="323" t="s">
        <v>213</v>
      </c>
      <c r="E36" s="323"/>
      <c r="F36" s="323"/>
      <c r="G36" s="323"/>
      <c r="H36" s="324"/>
      <c r="I36" s="204">
        <v>-0.05</v>
      </c>
      <c r="J36" s="204">
        <v>-0.03</v>
      </c>
      <c r="K36" s="204">
        <v>0.02</v>
      </c>
      <c r="L36" s="204">
        <v>0.02</v>
      </c>
      <c r="M36" s="204">
        <v>0.02</v>
      </c>
    </row>
    <row r="37" spans="4:13" x14ac:dyDescent="0.25">
      <c r="D37" s="323" t="s">
        <v>219</v>
      </c>
      <c r="E37" s="323"/>
      <c r="F37" s="323"/>
      <c r="G37" s="323"/>
      <c r="H37" s="324"/>
      <c r="I37" s="30">
        <f>3056+I38</f>
        <v>3514.4</v>
      </c>
      <c r="J37" s="30">
        <f>I37+J38</f>
        <v>4041.56</v>
      </c>
      <c r="K37" s="30">
        <f t="shared" ref="K37:M37" si="29">J37+K38</f>
        <v>4647.7939999999999</v>
      </c>
      <c r="L37" s="30">
        <f t="shared" si="29"/>
        <v>5344.9630999999999</v>
      </c>
      <c r="M37" s="30">
        <f t="shared" si="29"/>
        <v>6146.7075649999997</v>
      </c>
    </row>
    <row r="38" spans="4:13" x14ac:dyDescent="0.25">
      <c r="D38" s="323" t="s">
        <v>214</v>
      </c>
      <c r="E38" s="323"/>
      <c r="F38" s="323"/>
      <c r="G38" s="323"/>
      <c r="H38" s="324"/>
      <c r="I38" s="53">
        <f>3056*0.15</f>
        <v>458.4</v>
      </c>
      <c r="J38" s="53">
        <f>0.15*I37</f>
        <v>527.16</v>
      </c>
      <c r="K38" s="53">
        <f t="shared" ref="K38:M38" si="30">0.15*J37</f>
        <v>606.23399999999992</v>
      </c>
      <c r="L38" s="53">
        <f t="shared" si="30"/>
        <v>697.16909999999996</v>
      </c>
      <c r="M38" s="53">
        <f t="shared" si="30"/>
        <v>801.74446499999999</v>
      </c>
    </row>
    <row r="39" spans="4:13" x14ac:dyDescent="0.25">
      <c r="D39" s="331" t="s">
        <v>222</v>
      </c>
      <c r="E39" s="331"/>
      <c r="F39" s="331"/>
      <c r="G39" s="331"/>
      <c r="H39" s="332"/>
      <c r="I39" s="179">
        <f>0.7*I38</f>
        <v>320.87999999999994</v>
      </c>
      <c r="J39" s="179">
        <f t="shared" ref="J39:M39" si="31">0.7*J38</f>
        <v>369.01199999999994</v>
      </c>
      <c r="K39" s="179">
        <f t="shared" si="31"/>
        <v>424.36379999999991</v>
      </c>
      <c r="L39" s="179">
        <f t="shared" si="31"/>
        <v>488.01836999999995</v>
      </c>
      <c r="M39" s="179">
        <f t="shared" si="31"/>
        <v>561.22112549999997</v>
      </c>
    </row>
    <row r="40" spans="4:13" x14ac:dyDescent="0.25">
      <c r="D40" s="331" t="s">
        <v>223</v>
      </c>
      <c r="E40" s="331"/>
      <c r="F40" s="331"/>
      <c r="G40" s="331"/>
      <c r="H40" s="332"/>
      <c r="I40" s="179">
        <f>0.3*I38</f>
        <v>137.51999999999998</v>
      </c>
      <c r="J40" s="179">
        <f t="shared" ref="J40:M40" si="32">0.3*J38</f>
        <v>158.148</v>
      </c>
      <c r="K40" s="179">
        <f t="shared" si="32"/>
        <v>181.87019999999998</v>
      </c>
      <c r="L40" s="179">
        <f t="shared" si="32"/>
        <v>209.15072999999998</v>
      </c>
      <c r="M40" s="179">
        <f t="shared" si="32"/>
        <v>240.52333949999999</v>
      </c>
    </row>
    <row r="41" spans="4:13" x14ac:dyDescent="0.25">
      <c r="D41" s="323" t="s">
        <v>215</v>
      </c>
      <c r="E41" s="323"/>
      <c r="F41" s="323"/>
      <c r="G41" s="323"/>
      <c r="H41" s="324"/>
      <c r="I41" s="123">
        <v>50</v>
      </c>
      <c r="J41" s="123">
        <v>50</v>
      </c>
      <c r="K41" s="123">
        <v>50</v>
      </c>
      <c r="L41" s="123">
        <v>50</v>
      </c>
      <c r="M41" s="123">
        <v>50</v>
      </c>
    </row>
    <row r="42" spans="4:13" x14ac:dyDescent="0.25">
      <c r="D42" s="323" t="s">
        <v>224</v>
      </c>
      <c r="E42" s="323"/>
      <c r="F42" s="323"/>
      <c r="G42" s="323"/>
      <c r="H42" s="324"/>
      <c r="I42" s="53">
        <v>2000</v>
      </c>
      <c r="J42" s="53">
        <v>2000</v>
      </c>
      <c r="K42" s="53">
        <v>2100</v>
      </c>
      <c r="L42" s="53">
        <v>2100</v>
      </c>
      <c r="M42" s="53">
        <v>2200</v>
      </c>
    </row>
    <row r="43" spans="4:13" x14ac:dyDescent="0.25">
      <c r="D43" s="323" t="s">
        <v>225</v>
      </c>
      <c r="E43" s="323"/>
      <c r="F43" s="323"/>
      <c r="G43" s="323"/>
      <c r="H43" s="324"/>
      <c r="I43" s="30">
        <f>(5300000-4700000)/470</f>
        <v>1276.5957446808511</v>
      </c>
      <c r="J43" s="30">
        <f t="shared" ref="J43:M43" si="33">(5300000-4700000)/470</f>
        <v>1276.5957446808511</v>
      </c>
      <c r="K43" s="30">
        <f t="shared" si="33"/>
        <v>1276.5957446808511</v>
      </c>
      <c r="L43" s="30">
        <f t="shared" si="33"/>
        <v>1276.5957446808511</v>
      </c>
      <c r="M43" s="30">
        <f t="shared" si="33"/>
        <v>1276.5957446808511</v>
      </c>
    </row>
    <row r="44" spans="4:13" x14ac:dyDescent="0.25">
      <c r="D44" s="323" t="s">
        <v>218</v>
      </c>
      <c r="E44" s="323"/>
      <c r="F44" s="323"/>
      <c r="G44" s="323"/>
      <c r="H44" s="324"/>
      <c r="I44" s="177">
        <v>0.7</v>
      </c>
      <c r="J44" s="177">
        <v>0.7</v>
      </c>
      <c r="K44" s="177">
        <v>0.7</v>
      </c>
      <c r="L44" s="177">
        <v>0.7</v>
      </c>
      <c r="M44" s="177">
        <v>0.7</v>
      </c>
    </row>
    <row r="45" spans="4:13" x14ac:dyDescent="0.25">
      <c r="D45" s="329" t="s">
        <v>221</v>
      </c>
      <c r="E45" s="329"/>
      <c r="F45" s="329"/>
      <c r="G45" s="329"/>
      <c r="H45" s="330"/>
      <c r="I45" s="50">
        <f>(5343089*(1+I36))+(I39*I42*I44)+(I40*I43*I44)</f>
        <v>5648056.762765957</v>
      </c>
      <c r="J45" s="50">
        <f>(I45*(1+J36))+(J39*J42*J44)+(J40*J43*J44)</f>
        <v>6136555.6045638286</v>
      </c>
      <c r="K45" s="50">
        <f t="shared" ref="K45:M45" si="34">(J45*(1+K36))+(K39*K42*K44)+(K40*K43*K44)</f>
        <v>7045623.809038084</v>
      </c>
      <c r="L45" s="50">
        <f t="shared" si="34"/>
        <v>8090823.9414592711</v>
      </c>
      <c r="M45" s="50">
        <f t="shared" si="34"/>
        <v>9331856.7037499454</v>
      </c>
    </row>
    <row r="46" spans="4:13" ht="15.6" x14ac:dyDescent="0.3">
      <c r="D46" s="321" t="s">
        <v>220</v>
      </c>
      <c r="E46" s="321"/>
      <c r="F46" s="321"/>
      <c r="G46" s="321"/>
      <c r="H46" s="322"/>
      <c r="I46" s="46">
        <f>I35+(I38*I41)</f>
        <v>361803.40576595743</v>
      </c>
      <c r="J46" s="46">
        <f>J35+(J38*J41)</f>
        <v>394551.33627382969</v>
      </c>
      <c r="K46" s="46">
        <f>K35+(K38*K41)</f>
        <v>453049.12854228506</v>
      </c>
      <c r="L46" s="46">
        <f>L35+(L38*L41)</f>
        <v>520307.89148755628</v>
      </c>
      <c r="M46" s="46">
        <f>M35+(M38*M41)</f>
        <v>599998.62547499675</v>
      </c>
    </row>
    <row r="47" spans="4:13" x14ac:dyDescent="0.25">
      <c r="D47" s="319" t="s">
        <v>15</v>
      </c>
      <c r="E47" s="319"/>
      <c r="F47" s="319"/>
      <c r="G47" s="319"/>
      <c r="H47" s="320"/>
      <c r="I47" s="16">
        <f>I46/H13-1</f>
        <v>0.12437428372611725</v>
      </c>
      <c r="J47" s="16">
        <f>J46/I46-1</f>
        <v>9.0513052077392908E-2</v>
      </c>
      <c r="K47" s="16">
        <f t="shared" ref="K47:M47" si="35">K46/J46-1</f>
        <v>0.14826408350536235</v>
      </c>
      <c r="L47" s="16">
        <f t="shared" si="35"/>
        <v>0.14845798989103165</v>
      </c>
      <c r="M47" s="16">
        <f t="shared" si="35"/>
        <v>0.1531607251998528</v>
      </c>
    </row>
    <row r="48" spans="4:13" x14ac:dyDescent="0.25">
      <c r="H48" s="3"/>
    </row>
    <row r="49" spans="4:19" ht="15.6" x14ac:dyDescent="0.3">
      <c r="D49" s="325" t="s">
        <v>226</v>
      </c>
      <c r="E49" s="325"/>
      <c r="F49" s="325"/>
      <c r="G49" s="325"/>
      <c r="H49" s="326"/>
      <c r="I49" s="180">
        <v>2026</v>
      </c>
      <c r="J49" s="180">
        <f>I49+1</f>
        <v>2027</v>
      </c>
      <c r="K49" s="180">
        <f t="shared" ref="K49:M49" si="36">J49+1</f>
        <v>2028</v>
      </c>
      <c r="L49" s="180">
        <f t="shared" si="36"/>
        <v>2029</v>
      </c>
      <c r="M49" s="180">
        <f t="shared" si="36"/>
        <v>2030</v>
      </c>
      <c r="S49" s="1" t="s">
        <v>86</v>
      </c>
    </row>
    <row r="50" spans="4:19" x14ac:dyDescent="0.25">
      <c r="D50" s="323" t="s">
        <v>237</v>
      </c>
      <c r="E50" s="323"/>
      <c r="F50" s="323"/>
      <c r="G50" s="323"/>
      <c r="H50" s="324"/>
      <c r="I50" s="138">
        <f>I39</f>
        <v>320.87999999999994</v>
      </c>
      <c r="J50" s="138">
        <f t="shared" ref="J50:M50" si="37">J39</f>
        <v>369.01199999999994</v>
      </c>
      <c r="K50" s="138">
        <f t="shared" si="37"/>
        <v>424.36379999999991</v>
      </c>
      <c r="L50" s="138">
        <f t="shared" si="37"/>
        <v>488.01836999999995</v>
      </c>
      <c r="M50" s="138">
        <f t="shared" si="37"/>
        <v>561.22112549999997</v>
      </c>
    </row>
    <row r="51" spans="4:19" x14ac:dyDescent="0.25">
      <c r="D51" s="323" t="s">
        <v>224</v>
      </c>
      <c r="E51" s="323"/>
      <c r="F51" s="323"/>
      <c r="G51" s="323"/>
      <c r="H51" s="324"/>
      <c r="I51" s="138">
        <f>I42</f>
        <v>2000</v>
      </c>
      <c r="J51" s="138">
        <f t="shared" ref="J51:M51" si="38">J42</f>
        <v>2000</v>
      </c>
      <c r="K51" s="138">
        <f t="shared" si="38"/>
        <v>2100</v>
      </c>
      <c r="L51" s="138">
        <f t="shared" si="38"/>
        <v>2100</v>
      </c>
      <c r="M51" s="138">
        <f t="shared" si="38"/>
        <v>2200</v>
      </c>
    </row>
    <row r="52" spans="4:19" x14ac:dyDescent="0.25">
      <c r="D52" s="323" t="s">
        <v>213</v>
      </c>
      <c r="E52" s="323"/>
      <c r="F52" s="323"/>
      <c r="G52" s="323"/>
      <c r="H52" s="324"/>
      <c r="I52" s="274">
        <f>I36</f>
        <v>-0.05</v>
      </c>
      <c r="J52" s="274">
        <f t="shared" ref="J52:M52" si="39">J36</f>
        <v>-0.03</v>
      </c>
      <c r="K52" s="274">
        <f t="shared" si="39"/>
        <v>0.02</v>
      </c>
      <c r="L52" s="274">
        <f t="shared" si="39"/>
        <v>0.02</v>
      </c>
      <c r="M52" s="274">
        <f t="shared" si="39"/>
        <v>0.02</v>
      </c>
    </row>
    <row r="53" spans="4:19" x14ac:dyDescent="0.25">
      <c r="D53" s="323" t="s">
        <v>238</v>
      </c>
      <c r="E53" s="323"/>
      <c r="F53" s="323"/>
      <c r="G53" s="323"/>
      <c r="H53" s="324"/>
      <c r="I53" s="292">
        <f>I44</f>
        <v>0.7</v>
      </c>
      <c r="J53" s="292">
        <f t="shared" ref="J53:M53" si="40">J44</f>
        <v>0.7</v>
      </c>
      <c r="K53" s="292">
        <f t="shared" si="40"/>
        <v>0.7</v>
      </c>
      <c r="L53" s="292">
        <f t="shared" si="40"/>
        <v>0.7</v>
      </c>
      <c r="M53" s="292">
        <f t="shared" si="40"/>
        <v>0.7</v>
      </c>
    </row>
    <row r="54" spans="4:19" x14ac:dyDescent="0.25">
      <c r="D54" s="323" t="s">
        <v>227</v>
      </c>
      <c r="E54" s="323"/>
      <c r="F54" s="323"/>
      <c r="G54" s="323"/>
      <c r="H54" s="324"/>
      <c r="I54" s="30">
        <f>(4700000*(1+I52))+(I50*I51*I53)</f>
        <v>4914232</v>
      </c>
      <c r="J54" s="30">
        <f>(I54*(1+J52))+(J50*J51*J53)</f>
        <v>5283421.84</v>
      </c>
      <c r="K54" s="30">
        <f t="shared" ref="K54:M54" si="41">(J54*(1+K52))+(K50*K51*K53)</f>
        <v>6012905.0627999995</v>
      </c>
      <c r="L54" s="30">
        <f t="shared" si="41"/>
        <v>6850550.1679559993</v>
      </c>
      <c r="M54" s="30">
        <f t="shared" si="41"/>
        <v>7851841.7045851192</v>
      </c>
    </row>
    <row r="55" spans="4:19" x14ac:dyDescent="0.25">
      <c r="D55" s="329" t="s">
        <v>228</v>
      </c>
      <c r="E55" s="329"/>
      <c r="F55" s="329"/>
      <c r="G55" s="329"/>
      <c r="H55" s="330"/>
      <c r="I55" s="178">
        <v>5.5E-2</v>
      </c>
      <c r="J55" s="178">
        <v>5.5E-2</v>
      </c>
      <c r="K55" s="178">
        <v>5.7500000000000002E-2</v>
      </c>
      <c r="L55" s="178">
        <v>5.7500000000000002E-2</v>
      </c>
      <c r="M55" s="178">
        <v>5.7500000000000002E-2</v>
      </c>
    </row>
    <row r="56" spans="4:19" ht="15.6" x14ac:dyDescent="0.3">
      <c r="D56" s="321" t="s">
        <v>220</v>
      </c>
      <c r="E56" s="321"/>
      <c r="F56" s="321"/>
      <c r="G56" s="321"/>
      <c r="H56" s="322"/>
      <c r="I56" s="46">
        <f>I54*I55</f>
        <v>270282.76</v>
      </c>
      <c r="J56" s="46">
        <f t="shared" ref="J56:M56" si="42">J54*J55</f>
        <v>290588.20120000001</v>
      </c>
      <c r="K56" s="46">
        <f t="shared" si="42"/>
        <v>345742.041111</v>
      </c>
      <c r="L56" s="46">
        <f t="shared" si="42"/>
        <v>393906.63465746999</v>
      </c>
      <c r="M56" s="46">
        <f t="shared" si="42"/>
        <v>451480.89801364439</v>
      </c>
    </row>
    <row r="57" spans="4:19" x14ac:dyDescent="0.25">
      <c r="D57" s="319" t="s">
        <v>15</v>
      </c>
      <c r="E57" s="319"/>
      <c r="F57" s="319"/>
      <c r="G57" s="319"/>
      <c r="H57" s="320"/>
      <c r="I57" s="16">
        <f>I56/H20-1</f>
        <v>9.152674067821942E-2</v>
      </c>
      <c r="J57" s="16">
        <f>J56/I56-1</f>
        <v>7.5126660686756441E-2</v>
      </c>
      <c r="K57" s="16">
        <f t="shared" ref="K57" si="43">K56/J56-1</f>
        <v>0.18980068593025856</v>
      </c>
      <c r="L57" s="16">
        <f t="shared" ref="L57" si="44">L56/K56-1</f>
        <v>0.1393078880187637</v>
      </c>
      <c r="M57" s="16">
        <f t="shared" ref="M57" si="45">M56/L56-1</f>
        <v>0.1461622077176723</v>
      </c>
    </row>
    <row r="58" spans="4:19" x14ac:dyDescent="0.25">
      <c r="H58" s="3"/>
    </row>
    <row r="59" spans="4:19" ht="15.6" x14ac:dyDescent="0.3">
      <c r="D59" s="325" t="s">
        <v>19</v>
      </c>
      <c r="E59" s="325"/>
      <c r="F59" s="325"/>
      <c r="G59" s="325"/>
      <c r="H59" s="326"/>
      <c r="I59" s="180">
        <v>2026</v>
      </c>
      <c r="J59" s="180">
        <f>I59+1</f>
        <v>2027</v>
      </c>
      <c r="K59" s="180">
        <f t="shared" ref="K59:M59" si="46">J59+1</f>
        <v>2028</v>
      </c>
      <c r="L59" s="180">
        <f t="shared" si="46"/>
        <v>2029</v>
      </c>
      <c r="M59" s="180">
        <f t="shared" si="46"/>
        <v>2030</v>
      </c>
    </row>
    <row r="60" spans="4:19" x14ac:dyDescent="0.25">
      <c r="D60" s="327" t="s">
        <v>236</v>
      </c>
      <c r="E60" s="327"/>
      <c r="F60" s="327"/>
      <c r="G60" s="327"/>
      <c r="H60" s="328"/>
      <c r="I60" s="1">
        <f>57+I61</f>
        <v>60</v>
      </c>
      <c r="J60" s="1">
        <f>I60+J61</f>
        <v>63</v>
      </c>
      <c r="K60" s="1">
        <f t="shared" ref="K60:M60" si="47">J60+K61</f>
        <v>66</v>
      </c>
      <c r="L60" s="1">
        <f t="shared" si="47"/>
        <v>69</v>
      </c>
      <c r="M60" s="1">
        <f t="shared" si="47"/>
        <v>72</v>
      </c>
    </row>
    <row r="61" spans="4:19" x14ac:dyDescent="0.25">
      <c r="D61" s="323" t="s">
        <v>237</v>
      </c>
      <c r="E61" s="323"/>
      <c r="F61" s="323"/>
      <c r="G61" s="323"/>
      <c r="H61" s="324"/>
      <c r="I61" s="123">
        <v>3</v>
      </c>
      <c r="J61" s="123">
        <v>3</v>
      </c>
      <c r="K61" s="123">
        <v>3</v>
      </c>
      <c r="L61" s="123">
        <v>3</v>
      </c>
      <c r="M61" s="123">
        <v>3</v>
      </c>
    </row>
    <row r="62" spans="4:19" x14ac:dyDescent="0.25">
      <c r="D62" s="323" t="s">
        <v>213</v>
      </c>
      <c r="E62" s="323"/>
      <c r="F62" s="323"/>
      <c r="G62" s="323"/>
      <c r="H62" s="324"/>
      <c r="I62" s="204">
        <v>-0.02</v>
      </c>
      <c r="J62" s="204">
        <v>0.01</v>
      </c>
      <c r="K62" s="204">
        <v>0.02</v>
      </c>
      <c r="L62" s="204">
        <v>0.02</v>
      </c>
      <c r="M62" s="204">
        <v>0.02</v>
      </c>
    </row>
    <row r="63" spans="4:19" x14ac:dyDescent="0.25">
      <c r="D63" s="323" t="s">
        <v>217</v>
      </c>
      <c r="E63" s="323"/>
      <c r="F63" s="323"/>
      <c r="G63" s="323"/>
      <c r="H63" s="324"/>
      <c r="I63" s="53">
        <v>2400</v>
      </c>
      <c r="J63" s="53">
        <v>2400</v>
      </c>
      <c r="K63" s="53">
        <v>2400</v>
      </c>
      <c r="L63" s="53">
        <v>2400</v>
      </c>
      <c r="M63" s="53">
        <v>2400</v>
      </c>
    </row>
    <row r="64" spans="4:19" x14ac:dyDescent="0.25">
      <c r="D64" s="329" t="s">
        <v>238</v>
      </c>
      <c r="E64" s="329"/>
      <c r="F64" s="329"/>
      <c r="G64" s="329"/>
      <c r="H64" s="330"/>
      <c r="I64" s="205">
        <v>0.7</v>
      </c>
      <c r="J64" s="205">
        <v>0.7</v>
      </c>
      <c r="K64" s="205">
        <v>0.7</v>
      </c>
      <c r="L64" s="205">
        <v>0.7</v>
      </c>
      <c r="M64" s="205">
        <v>0.7</v>
      </c>
    </row>
    <row r="65" spans="4:13" ht="15.6" x14ac:dyDescent="0.3">
      <c r="D65" s="321" t="s">
        <v>220</v>
      </c>
      <c r="E65" s="321"/>
      <c r="F65" s="321"/>
      <c r="G65" s="321"/>
      <c r="H65" s="322"/>
      <c r="I65" s="46">
        <f>(H27*(1+I62))+(I61*I63*I64)</f>
        <v>129942.95999999999</v>
      </c>
      <c r="J65" s="46">
        <f>(I65*(1+J62))+(J61*J63*J64)</f>
        <v>136282.38959999999</v>
      </c>
      <c r="K65" s="46">
        <f t="shared" ref="K65:M65" si="48">(J65*(1+K62))+(K61*K63*K64)</f>
        <v>144048.037392</v>
      </c>
      <c r="L65" s="46">
        <f t="shared" si="48"/>
        <v>151968.99813984</v>
      </c>
      <c r="M65" s="46">
        <f t="shared" si="48"/>
        <v>160048.37810263681</v>
      </c>
    </row>
    <row r="66" spans="4:13" x14ac:dyDescent="0.25">
      <c r="D66" s="319" t="s">
        <v>15</v>
      </c>
      <c r="E66" s="319"/>
      <c r="F66" s="319"/>
      <c r="G66" s="319"/>
      <c r="H66" s="320"/>
      <c r="I66" s="16">
        <f>I65/H27-1</f>
        <v>1.9544299030223033E-2</v>
      </c>
      <c r="J66" s="16">
        <f>J65/I65-1</f>
        <v>4.8786248981860902E-2</v>
      </c>
      <c r="K66" s="16">
        <f t="shared" ref="K66" si="49">K65/J65-1</f>
        <v>5.6982034251034319E-2</v>
      </c>
      <c r="L66" s="16">
        <f t="shared" ref="L66" si="50">L65/K65-1</f>
        <v>5.4988328138651177E-2</v>
      </c>
      <c r="M66" s="16">
        <f t="shared" ref="M66" si="51">M65/L65-1</f>
        <v>5.3164658987632896E-2</v>
      </c>
    </row>
  </sheetData>
  <mergeCells count="31">
    <mergeCell ref="D34:H34"/>
    <mergeCell ref="D35:H35"/>
    <mergeCell ref="D38:H38"/>
    <mergeCell ref="D41:H41"/>
    <mergeCell ref="D36:H36"/>
    <mergeCell ref="D39:H39"/>
    <mergeCell ref="D37:H37"/>
    <mergeCell ref="D49:H49"/>
    <mergeCell ref="D50:H50"/>
    <mergeCell ref="D51:H51"/>
    <mergeCell ref="D40:H40"/>
    <mergeCell ref="D43:H43"/>
    <mergeCell ref="D42:H42"/>
    <mergeCell ref="D44:H44"/>
    <mergeCell ref="D46:H46"/>
    <mergeCell ref="D45:H45"/>
    <mergeCell ref="D47:H47"/>
    <mergeCell ref="D57:H57"/>
    <mergeCell ref="D66:H66"/>
    <mergeCell ref="D65:H65"/>
    <mergeCell ref="D52:H52"/>
    <mergeCell ref="D53:H53"/>
    <mergeCell ref="D59:H59"/>
    <mergeCell ref="D60:H60"/>
    <mergeCell ref="D61:H61"/>
    <mergeCell ref="D62:H62"/>
    <mergeCell ref="D63:H63"/>
    <mergeCell ref="D64:H64"/>
    <mergeCell ref="D56:H56"/>
    <mergeCell ref="D54:H54"/>
    <mergeCell ref="D55:H55"/>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1869F-DBF4-4340-80DD-DAD3767217AB}">
  <dimension ref="B2:M38"/>
  <sheetViews>
    <sheetView showGridLines="0" zoomScale="64" zoomScaleNormal="70" workbookViewId="0">
      <pane xSplit="1" ySplit="3" topLeftCell="B4" activePane="bottomRight" state="frozen"/>
      <selection pane="topRight" activeCell="B1" sqref="B1"/>
      <selection pane="bottomLeft" activeCell="A4" sqref="A4"/>
      <selection pane="bottomRight" activeCell="D3" sqref="D3:M4"/>
    </sheetView>
  </sheetViews>
  <sheetFormatPr defaultRowHeight="15" x14ac:dyDescent="0.25"/>
  <cols>
    <col min="1" max="1" width="3.77734375" style="1" customWidth="1"/>
    <col min="2" max="2" width="55.5546875" style="1" bestFit="1" customWidth="1"/>
    <col min="3" max="3" width="3.77734375" style="1" customWidth="1"/>
    <col min="4" max="8" width="11.44140625" style="1" bestFit="1" customWidth="1"/>
    <col min="9" max="9" width="14.44140625" style="1" bestFit="1" customWidth="1"/>
    <col min="10" max="13" width="13.33203125" style="1" bestFit="1" customWidth="1"/>
    <col min="14" max="16384" width="8.88671875" style="1"/>
  </cols>
  <sheetData>
    <row r="2" spans="2:13" ht="15.6" x14ac:dyDescent="0.3">
      <c r="B2" s="11" t="s">
        <v>1</v>
      </c>
      <c r="C2" s="11"/>
      <c r="D2" s="11"/>
      <c r="E2" s="11"/>
      <c r="F2" s="11"/>
      <c r="G2" s="11"/>
      <c r="H2" s="11"/>
      <c r="I2" s="11"/>
      <c r="J2" s="11"/>
      <c r="K2" s="11"/>
      <c r="L2" s="11"/>
      <c r="M2" s="11"/>
    </row>
    <row r="3" spans="2:13" ht="15.6" x14ac:dyDescent="0.3">
      <c r="B3" s="12" t="s">
        <v>13</v>
      </c>
      <c r="C3" s="11"/>
      <c r="D3" s="13">
        <v>2021</v>
      </c>
      <c r="E3" s="13">
        <f>D3+1</f>
        <v>2022</v>
      </c>
      <c r="F3" s="13">
        <f t="shared" ref="F3:M3" si="0">E3+1</f>
        <v>2023</v>
      </c>
      <c r="G3" s="13">
        <f t="shared" si="0"/>
        <v>2024</v>
      </c>
      <c r="H3" s="21">
        <f t="shared" si="0"/>
        <v>2025</v>
      </c>
      <c r="I3" s="14">
        <f t="shared" si="0"/>
        <v>2026</v>
      </c>
      <c r="J3" s="14">
        <f t="shared" si="0"/>
        <v>2027</v>
      </c>
      <c r="K3" s="14">
        <f t="shared" si="0"/>
        <v>2028</v>
      </c>
      <c r="L3" s="14">
        <f t="shared" si="0"/>
        <v>2029</v>
      </c>
      <c r="M3" s="14">
        <f t="shared" si="0"/>
        <v>2030</v>
      </c>
    </row>
    <row r="4" spans="2:13" ht="15.6" x14ac:dyDescent="0.3">
      <c r="B4" s="8" t="s">
        <v>14</v>
      </c>
      <c r="D4" s="48">
        <f>'Revenue Buildout'!D4</f>
        <v>282502</v>
      </c>
      <c r="E4" s="48">
        <f>'Revenue Buildout'!E4</f>
        <v>357521</v>
      </c>
      <c r="F4" s="48">
        <f>'Revenue Buildout'!F4</f>
        <v>460055</v>
      </c>
      <c r="G4" s="48">
        <f>'Revenue Buildout'!G4</f>
        <v>625807</v>
      </c>
      <c r="H4" s="49">
        <f>'Revenue Buildout'!H4</f>
        <v>696853</v>
      </c>
      <c r="I4" s="48">
        <f>'Revenue Buildout'!I4</f>
        <v>762029.1257659574</v>
      </c>
      <c r="J4" s="48">
        <f>'Revenue Buildout'!J4</f>
        <v>821421.92707382969</v>
      </c>
      <c r="K4" s="48">
        <f>'Revenue Buildout'!K4</f>
        <v>942839.20704528503</v>
      </c>
      <c r="L4" s="48">
        <f>'Revenue Buildout'!L4</f>
        <v>1066183.5242848664</v>
      </c>
      <c r="M4" s="48">
        <f>'Revenue Buildout'!M4</f>
        <v>1211527.9015912781</v>
      </c>
    </row>
    <row r="5" spans="2:13" x14ac:dyDescent="0.25">
      <c r="B5" s="18" t="s">
        <v>26</v>
      </c>
      <c r="C5" s="18"/>
      <c r="D5" s="51">
        <v>57416</v>
      </c>
      <c r="E5" s="51">
        <v>63395</v>
      </c>
      <c r="F5" s="51">
        <v>70646</v>
      </c>
      <c r="G5" s="51">
        <v>91632</v>
      </c>
      <c r="H5" s="52">
        <v>96058</v>
      </c>
      <c r="I5" s="50">
        <f>I4*I32</f>
        <v>99063.786349574468</v>
      </c>
      <c r="J5" s="50">
        <f t="shared" ref="J5:M5" si="1">J4*J32</f>
        <v>104320.58473837638</v>
      </c>
      <c r="K5" s="50">
        <f t="shared" si="1"/>
        <v>116912.06167361535</v>
      </c>
      <c r="L5" s="50">
        <f t="shared" si="1"/>
        <v>129008.20643846883</v>
      </c>
      <c r="M5" s="50">
        <f t="shared" si="1"/>
        <v>146594.87609254464</v>
      </c>
    </row>
    <row r="6" spans="2:13" ht="15.6" x14ac:dyDescent="0.3">
      <c r="B6" s="8" t="s">
        <v>27</v>
      </c>
      <c r="D6" s="46">
        <f>D4-D5</f>
        <v>225086</v>
      </c>
      <c r="E6" s="46">
        <f t="shared" ref="E6:M6" si="2">E4-E5</f>
        <v>294126</v>
      </c>
      <c r="F6" s="46">
        <f t="shared" si="2"/>
        <v>389409</v>
      </c>
      <c r="G6" s="46">
        <f t="shared" si="2"/>
        <v>534175</v>
      </c>
      <c r="H6" s="47">
        <f t="shared" si="2"/>
        <v>600795</v>
      </c>
      <c r="I6" s="46">
        <f t="shared" si="2"/>
        <v>662965.33941638295</v>
      </c>
      <c r="J6" s="46">
        <f t="shared" si="2"/>
        <v>717101.34233545326</v>
      </c>
      <c r="K6" s="46">
        <f t="shared" si="2"/>
        <v>825927.14537166967</v>
      </c>
      <c r="L6" s="46">
        <f t="shared" si="2"/>
        <v>937175.31784639764</v>
      </c>
      <c r="M6" s="46">
        <f t="shared" si="2"/>
        <v>1064933.0254987334</v>
      </c>
    </row>
    <row r="7" spans="2:13" x14ac:dyDescent="0.25">
      <c r="B7" s="15" t="s">
        <v>39</v>
      </c>
      <c r="D7" s="16">
        <f>D6/D4</f>
        <v>0.79675896099850618</v>
      </c>
      <c r="E7" s="16">
        <f t="shared" ref="E7:M7" si="3">E6/E4</f>
        <v>0.82268174456885046</v>
      </c>
      <c r="F7" s="16">
        <f t="shared" si="3"/>
        <v>0.84644009955331423</v>
      </c>
      <c r="G7" s="16">
        <f t="shared" si="3"/>
        <v>0.85357786026682347</v>
      </c>
      <c r="H7" s="22">
        <f t="shared" si="3"/>
        <v>0.8621545720546514</v>
      </c>
      <c r="I7" s="16">
        <f t="shared" si="3"/>
        <v>0.87</v>
      </c>
      <c r="J7" s="16">
        <f t="shared" si="3"/>
        <v>0.87299999999999989</v>
      </c>
      <c r="K7" s="16">
        <f t="shared" si="3"/>
        <v>0.876</v>
      </c>
      <c r="L7" s="16">
        <f t="shared" si="3"/>
        <v>0.87900000000000011</v>
      </c>
      <c r="M7" s="16">
        <f t="shared" si="3"/>
        <v>0.87899999999999989</v>
      </c>
    </row>
    <row r="8" spans="2:13" ht="15.6" x14ac:dyDescent="0.3">
      <c r="B8" s="8" t="s">
        <v>28</v>
      </c>
      <c r="H8" s="3"/>
    </row>
    <row r="9" spans="2:13" x14ac:dyDescent="0.25">
      <c r="B9" s="1" t="s">
        <v>29</v>
      </c>
      <c r="D9" s="53">
        <v>83989</v>
      </c>
      <c r="E9" s="53">
        <v>123069</v>
      </c>
      <c r="F9" s="53">
        <v>166583</v>
      </c>
      <c r="G9" s="53">
        <v>233306</v>
      </c>
      <c r="H9" s="54">
        <v>261545</v>
      </c>
      <c r="I9" s="30">
        <f>I4*I33</f>
        <v>266710.19401808508</v>
      </c>
      <c r="J9" s="30">
        <f t="shared" ref="J9:M9" si="4">J4*J33</f>
        <v>296443.56430034165</v>
      </c>
      <c r="K9" s="30">
        <f t="shared" si="4"/>
        <v>343403.85439857736</v>
      </c>
      <c r="L9" s="30">
        <f t="shared" si="4"/>
        <v>388782.79089220084</v>
      </c>
      <c r="M9" s="30">
        <f t="shared" si="4"/>
        <v>439805.45847487921</v>
      </c>
    </row>
    <row r="10" spans="2:13" x14ac:dyDescent="0.25">
      <c r="B10" s="1" t="s">
        <v>30</v>
      </c>
      <c r="D10" s="53">
        <v>62895</v>
      </c>
      <c r="E10" s="53">
        <v>67061</v>
      </c>
      <c r="F10" s="53">
        <v>96898</v>
      </c>
      <c r="G10" s="53">
        <v>116801</v>
      </c>
      <c r="H10" s="54">
        <v>128356</v>
      </c>
      <c r="I10" s="30">
        <f>I4*I34</f>
        <v>138689.30088940426</v>
      </c>
      <c r="J10" s="30">
        <f t="shared" ref="J10:M10" si="5">J4*J34</f>
        <v>147855.94687328933</v>
      </c>
      <c r="K10" s="30">
        <f t="shared" si="5"/>
        <v>167825.37885406072</v>
      </c>
      <c r="L10" s="30">
        <f t="shared" si="5"/>
        <v>187648.30027413648</v>
      </c>
      <c r="M10" s="30">
        <f t="shared" si="5"/>
        <v>213228.91068006493</v>
      </c>
    </row>
    <row r="11" spans="2:13" x14ac:dyDescent="0.25">
      <c r="B11" s="1" t="s">
        <v>31</v>
      </c>
      <c r="D11" s="53">
        <v>7943</v>
      </c>
      <c r="E11" s="53">
        <v>10899</v>
      </c>
      <c r="F11" s="53">
        <v>13239</v>
      </c>
      <c r="G11" s="53">
        <v>19490</v>
      </c>
      <c r="H11" s="54">
        <v>25068</v>
      </c>
      <c r="I11" s="30">
        <f>I4*I35</f>
        <v>32767.252407936165</v>
      </c>
      <c r="J11" s="30">
        <f t="shared" ref="J11:M11" si="6">J4*J35</f>
        <v>27826.30148249687</v>
      </c>
      <c r="K11" s="30">
        <f t="shared" si="6"/>
        <v>32578.810570257097</v>
      </c>
      <c r="L11" s="30">
        <f t="shared" si="6"/>
        <v>38072.700046305887</v>
      </c>
      <c r="M11" s="30">
        <f t="shared" si="6"/>
        <v>44369.107158833503</v>
      </c>
    </row>
    <row r="12" spans="2:13" x14ac:dyDescent="0.25">
      <c r="B12" s="18" t="s">
        <v>32</v>
      </c>
      <c r="C12" s="18"/>
      <c r="D12" s="51">
        <v>-3497</v>
      </c>
      <c r="E12" s="51">
        <v>1164</v>
      </c>
      <c r="F12" s="51">
        <v>95</v>
      </c>
      <c r="G12" s="51">
        <v>-1038</v>
      </c>
      <c r="H12" s="52">
        <v>6535</v>
      </c>
      <c r="I12" s="50">
        <f>I4*I36</f>
        <v>-182.46137821242601</v>
      </c>
      <c r="J12" s="50">
        <f t="shared" ref="J12:M12" si="7">J4*J36</f>
        <v>1797.6037821022119</v>
      </c>
      <c r="K12" s="50">
        <f t="shared" si="7"/>
        <v>1862.0464658185274</v>
      </c>
      <c r="L12" s="50">
        <f t="shared" si="7"/>
        <v>2482.7394693139877</v>
      </c>
      <c r="M12" s="50">
        <f t="shared" si="7"/>
        <v>3787.3322455487082</v>
      </c>
    </row>
    <row r="13" spans="2:13" ht="15.6" x14ac:dyDescent="0.3">
      <c r="B13" s="8" t="s">
        <v>33</v>
      </c>
      <c r="D13" s="46">
        <f>D6-D9-D10-D11-D12</f>
        <v>73756</v>
      </c>
      <c r="E13" s="46">
        <f t="shared" ref="E13:M13" si="8">E6-E9-E10-E11-E12</f>
        <v>91933</v>
      </c>
      <c r="F13" s="46">
        <f t="shared" si="8"/>
        <v>112594</v>
      </c>
      <c r="G13" s="46">
        <f t="shared" si="8"/>
        <v>165616</v>
      </c>
      <c r="H13" s="47">
        <f t="shared" si="8"/>
        <v>179291</v>
      </c>
      <c r="I13" s="46">
        <f t="shared" si="8"/>
        <v>224981.05347916987</v>
      </c>
      <c r="J13" s="46">
        <f t="shared" si="8"/>
        <v>243177.92589722323</v>
      </c>
      <c r="K13" s="46">
        <f t="shared" si="8"/>
        <v>280257.05508295598</v>
      </c>
      <c r="L13" s="46">
        <f t="shared" si="8"/>
        <v>320188.78716444049</v>
      </c>
      <c r="M13" s="46">
        <f t="shared" si="8"/>
        <v>363742.21693940705</v>
      </c>
    </row>
    <row r="14" spans="2:13" x14ac:dyDescent="0.25">
      <c r="B14" s="15" t="s">
        <v>39</v>
      </c>
      <c r="D14" s="16">
        <f>D13/D4</f>
        <v>0.26108133747725681</v>
      </c>
      <c r="E14" s="16">
        <f t="shared" ref="E14:M14" si="9">E13/E4</f>
        <v>0.25714014001974711</v>
      </c>
      <c r="F14" s="16">
        <f t="shared" si="9"/>
        <v>0.24474030278988382</v>
      </c>
      <c r="G14" s="16">
        <f t="shared" si="9"/>
        <v>0.26464389180689896</v>
      </c>
      <c r="H14" s="22">
        <f t="shared" si="9"/>
        <v>0.25728668743623118</v>
      </c>
      <c r="I14" s="16">
        <f t="shared" si="9"/>
        <v>0.29523944147545417</v>
      </c>
      <c r="J14" s="16">
        <f t="shared" si="9"/>
        <v>0.29604508704010568</v>
      </c>
      <c r="K14" s="16">
        <f t="shared" si="9"/>
        <v>0.2972479856467139</v>
      </c>
      <c r="L14" s="16">
        <f t="shared" si="9"/>
        <v>0.30031301353976975</v>
      </c>
      <c r="M14" s="16">
        <f t="shared" si="9"/>
        <v>0.30023428801074314</v>
      </c>
    </row>
    <row r="15" spans="2:13" x14ac:dyDescent="0.25">
      <c r="B15" s="1" t="s">
        <v>34</v>
      </c>
      <c r="D15" s="53">
        <v>14984</v>
      </c>
      <c r="E15" s="53">
        <v>21230</v>
      </c>
      <c r="F15" s="53">
        <v>18227</v>
      </c>
      <c r="G15" s="53">
        <v>21292</v>
      </c>
      <c r="H15" s="54">
        <v>35784</v>
      </c>
      <c r="I15" s="62">
        <f>'Debt Waterfall'!D35</f>
        <v>43982.5075</v>
      </c>
      <c r="J15" s="62">
        <f>'Debt Waterfall'!E35</f>
        <v>43982.5075</v>
      </c>
      <c r="K15" s="62">
        <f>'Debt Waterfall'!F35</f>
        <v>58922.987500000003</v>
      </c>
      <c r="L15" s="62">
        <f>'Debt Waterfall'!G35</f>
        <v>62209.403124999997</v>
      </c>
      <c r="M15" s="62">
        <f>'Debt Waterfall'!H35</f>
        <v>63304.875</v>
      </c>
    </row>
    <row r="16" spans="2:13" x14ac:dyDescent="0.25">
      <c r="B16" s="1" t="s">
        <v>35</v>
      </c>
      <c r="D16" s="53">
        <v>0</v>
      </c>
      <c r="E16" s="53">
        <v>814</v>
      </c>
      <c r="F16" s="53">
        <v>0</v>
      </c>
      <c r="G16" s="53">
        <v>0</v>
      </c>
      <c r="H16" s="54">
        <v>0</v>
      </c>
      <c r="I16" s="62">
        <f>H16</f>
        <v>0</v>
      </c>
      <c r="J16" s="62">
        <f t="shared" ref="J16:M16" si="10">I16</f>
        <v>0</v>
      </c>
      <c r="K16" s="62">
        <f t="shared" si="10"/>
        <v>0</v>
      </c>
      <c r="L16" s="62">
        <f t="shared" si="10"/>
        <v>0</v>
      </c>
      <c r="M16" s="62">
        <f t="shared" si="10"/>
        <v>0</v>
      </c>
    </row>
    <row r="17" spans="2:13" ht="15.6" thickBot="1" x14ac:dyDescent="0.3">
      <c r="B17" s="18" t="s">
        <v>40</v>
      </c>
      <c r="C17" s="18"/>
      <c r="D17" s="51">
        <v>-135</v>
      </c>
      <c r="E17" s="51">
        <v>573</v>
      </c>
      <c r="F17" s="51">
        <v>57</v>
      </c>
      <c r="G17" s="51">
        <v>-2866</v>
      </c>
      <c r="H17" s="52">
        <v>-93682</v>
      </c>
      <c r="I17" s="28">
        <f>I4*I37</f>
        <v>-634.5717806060153</v>
      </c>
      <c r="J17" s="28">
        <f t="shared" ref="J17:M17" si="11">J4*J37</f>
        <v>-684.03051440865374</v>
      </c>
      <c r="K17" s="28">
        <f t="shared" si="11"/>
        <v>-785.13948379401722</v>
      </c>
      <c r="L17" s="28">
        <f t="shared" si="11"/>
        <v>-887.85317329988754</v>
      </c>
      <c r="M17" s="28">
        <f t="shared" si="11"/>
        <v>-1008.8871826177011</v>
      </c>
    </row>
    <row r="18" spans="2:13" ht="15.6" x14ac:dyDescent="0.3">
      <c r="B18" s="8" t="s">
        <v>36</v>
      </c>
      <c r="D18" s="46">
        <f>D13-D15-D16-D17</f>
        <v>58907</v>
      </c>
      <c r="E18" s="46">
        <f t="shared" ref="E18:M18" si="12">E13-E15-E16-E17</f>
        <v>69316</v>
      </c>
      <c r="F18" s="46">
        <f t="shared" si="12"/>
        <v>94310</v>
      </c>
      <c r="G18" s="46">
        <f t="shared" si="12"/>
        <v>147190</v>
      </c>
      <c r="H18" s="47">
        <f t="shared" si="12"/>
        <v>237189</v>
      </c>
      <c r="I18" s="46">
        <f t="shared" si="12"/>
        <v>181633.11775977589</v>
      </c>
      <c r="J18" s="46">
        <f t="shared" si="12"/>
        <v>199879.44891163189</v>
      </c>
      <c r="K18" s="46">
        <f t="shared" si="12"/>
        <v>222119.20706675001</v>
      </c>
      <c r="L18" s="46">
        <f t="shared" si="12"/>
        <v>258867.23721274038</v>
      </c>
      <c r="M18" s="46">
        <f t="shared" si="12"/>
        <v>301446.22912202473</v>
      </c>
    </row>
    <row r="19" spans="2:13" ht="15.6" thickBot="1" x14ac:dyDescent="0.3">
      <c r="B19" s="17" t="s">
        <v>37</v>
      </c>
      <c r="C19" s="17"/>
      <c r="D19" s="28">
        <v>16249</v>
      </c>
      <c r="E19" s="28">
        <v>16369</v>
      </c>
      <c r="F19" s="28">
        <v>24135</v>
      </c>
      <c r="G19" s="28">
        <v>38473</v>
      </c>
      <c r="H19" s="29">
        <v>62922</v>
      </c>
      <c r="I19" s="27">
        <f>I18*I38</f>
        <v>48184.0179590142</v>
      </c>
      <c r="J19" s="27">
        <f t="shared" ref="J19:M19" si="13">J18*J38</f>
        <v>53024.443310683469</v>
      </c>
      <c r="K19" s="27">
        <f t="shared" si="13"/>
        <v>58924.253431036195</v>
      </c>
      <c r="L19" s="27">
        <f t="shared" si="13"/>
        <v>68672.848656135189</v>
      </c>
      <c r="M19" s="27">
        <f t="shared" si="13"/>
        <v>79968.2937607395</v>
      </c>
    </row>
    <row r="20" spans="2:13" ht="16.2" thickBot="1" x14ac:dyDescent="0.35">
      <c r="B20" s="42" t="s">
        <v>38</v>
      </c>
      <c r="C20" s="43"/>
      <c r="D20" s="44">
        <f>D18-D19</f>
        <v>42658</v>
      </c>
      <c r="E20" s="44">
        <f t="shared" ref="E20:M20" si="14">E18-E19</f>
        <v>52947</v>
      </c>
      <c r="F20" s="44">
        <f t="shared" si="14"/>
        <v>70175</v>
      </c>
      <c r="G20" s="44">
        <f t="shared" si="14"/>
        <v>108717</v>
      </c>
      <c r="H20" s="45">
        <f t="shared" si="14"/>
        <v>174267</v>
      </c>
      <c r="I20" s="44">
        <f t="shared" si="14"/>
        <v>133449.0998007617</v>
      </c>
      <c r="J20" s="44">
        <f t="shared" si="14"/>
        <v>146855.00560094841</v>
      </c>
      <c r="K20" s="44">
        <f t="shared" si="14"/>
        <v>163194.95363571381</v>
      </c>
      <c r="L20" s="44">
        <f t="shared" si="14"/>
        <v>190194.3885566052</v>
      </c>
      <c r="M20" s="44">
        <f t="shared" si="14"/>
        <v>221477.93536128523</v>
      </c>
    </row>
    <row r="21" spans="2:13" ht="15.6" thickTop="1" x14ac:dyDescent="0.25">
      <c r="B21" s="15" t="s">
        <v>39</v>
      </c>
      <c r="D21" s="16">
        <f>D20/D4</f>
        <v>0.15100070087999376</v>
      </c>
      <c r="E21" s="16">
        <f t="shared" ref="E21:M21" si="15">E20/E4</f>
        <v>0.14809479722869426</v>
      </c>
      <c r="F21" s="16">
        <f t="shared" si="15"/>
        <v>0.15253610981295715</v>
      </c>
      <c r="G21" s="16">
        <f t="shared" si="15"/>
        <v>0.17372288900571581</v>
      </c>
      <c r="H21" s="55">
        <f t="shared" si="15"/>
        <v>0.2500771324798774</v>
      </c>
      <c r="I21" s="16">
        <f t="shared" si="15"/>
        <v>0.17512335852861879</v>
      </c>
      <c r="J21" s="16">
        <f t="shared" si="15"/>
        <v>0.17878145294233061</v>
      </c>
      <c r="K21" s="16">
        <f t="shared" si="15"/>
        <v>0.17308884952625384</v>
      </c>
      <c r="L21" s="16">
        <f t="shared" si="15"/>
        <v>0.17838803941767575</v>
      </c>
      <c r="M21" s="16">
        <f t="shared" si="15"/>
        <v>0.18280877813080953</v>
      </c>
    </row>
    <row r="22" spans="2:13" ht="15.6" thickBot="1" x14ac:dyDescent="0.3">
      <c r="B22" s="17"/>
      <c r="C22" s="17"/>
      <c r="D22" s="17"/>
      <c r="E22" s="17"/>
      <c r="F22" s="17"/>
      <c r="G22" s="17"/>
      <c r="H22" s="24"/>
      <c r="I22" s="17"/>
      <c r="J22" s="17"/>
      <c r="K22" s="17"/>
      <c r="L22" s="17"/>
      <c r="M22" s="17"/>
    </row>
    <row r="23" spans="2:13" ht="16.2" thickBot="1" x14ac:dyDescent="0.35">
      <c r="B23" s="206" t="s">
        <v>41</v>
      </c>
      <c r="C23" s="207"/>
      <c r="D23" s="208">
        <f>D13+D11</f>
        <v>81699</v>
      </c>
      <c r="E23" s="208">
        <f t="shared" ref="E23:M23" si="16">E13+E11</f>
        <v>102832</v>
      </c>
      <c r="F23" s="208">
        <f t="shared" si="16"/>
        <v>125833</v>
      </c>
      <c r="G23" s="208">
        <f t="shared" si="16"/>
        <v>185106</v>
      </c>
      <c r="H23" s="209">
        <f t="shared" si="16"/>
        <v>204359</v>
      </c>
      <c r="I23" s="208">
        <f t="shared" si="16"/>
        <v>257748.30588710605</v>
      </c>
      <c r="J23" s="208">
        <f t="shared" si="16"/>
        <v>271004.22737972008</v>
      </c>
      <c r="K23" s="208">
        <f t="shared" si="16"/>
        <v>312835.86565321306</v>
      </c>
      <c r="L23" s="208">
        <f t="shared" si="16"/>
        <v>358261.48721074639</v>
      </c>
      <c r="M23" s="208">
        <f t="shared" si="16"/>
        <v>408111.32409824058</v>
      </c>
    </row>
    <row r="24" spans="2:13" x14ac:dyDescent="0.25">
      <c r="B24" s="15" t="s">
        <v>39</v>
      </c>
      <c r="D24" s="16">
        <f>D23/D4</f>
        <v>0.28919795258086667</v>
      </c>
      <c r="E24" s="16">
        <f t="shared" ref="E24:M24" si="17">E23/E4</f>
        <v>0.28762506258373632</v>
      </c>
      <c r="F24" s="16">
        <f t="shared" si="17"/>
        <v>0.27351729684494247</v>
      </c>
      <c r="G24" s="16">
        <f t="shared" si="17"/>
        <v>0.29578767894894115</v>
      </c>
      <c r="H24" s="59">
        <f t="shared" si="17"/>
        <v>0.29325984102816521</v>
      </c>
      <c r="I24" s="16">
        <f t="shared" si="17"/>
        <v>0.33823944147545415</v>
      </c>
      <c r="J24" s="16">
        <f t="shared" si="17"/>
        <v>0.32992085851071046</v>
      </c>
      <c r="K24" s="16">
        <f t="shared" si="17"/>
        <v>0.3318019268986418</v>
      </c>
      <c r="L24" s="16">
        <f t="shared" si="17"/>
        <v>0.33602234423107152</v>
      </c>
      <c r="M24" s="16">
        <f t="shared" si="17"/>
        <v>0.33685672741189687</v>
      </c>
    </row>
    <row r="25" spans="2:13" x14ac:dyDescent="0.25">
      <c r="B25" s="15"/>
      <c r="D25" s="16"/>
      <c r="E25" s="16"/>
      <c r="F25" s="16"/>
      <c r="G25" s="16"/>
      <c r="H25" s="22"/>
      <c r="I25" s="16"/>
      <c r="J25" s="16"/>
      <c r="K25" s="16"/>
      <c r="L25" s="16"/>
      <c r="M25" s="16"/>
    </row>
    <row r="26" spans="2:13" x14ac:dyDescent="0.25">
      <c r="B26" s="173" t="s">
        <v>210</v>
      </c>
      <c r="D26" s="53">
        <v>29769</v>
      </c>
      <c r="E26" s="53">
        <v>29893</v>
      </c>
      <c r="F26" s="53">
        <v>29769</v>
      </c>
      <c r="G26" s="93">
        <f>G20/G28</f>
        <v>29225</v>
      </c>
      <c r="H26" s="137">
        <f>H20/H28</f>
        <v>27972.231139646869</v>
      </c>
      <c r="I26" s="30">
        <f>H26-1200</f>
        <v>26772.231139646869</v>
      </c>
      <c r="J26" s="30">
        <f t="shared" ref="J26:M26" si="18">I26-1200</f>
        <v>25572.231139646869</v>
      </c>
      <c r="K26" s="30">
        <f t="shared" si="18"/>
        <v>24372.231139646869</v>
      </c>
      <c r="L26" s="30">
        <f t="shared" si="18"/>
        <v>23172.231139646869</v>
      </c>
      <c r="M26" s="30">
        <f t="shared" si="18"/>
        <v>21972.231139646869</v>
      </c>
    </row>
    <row r="27" spans="2:13" x14ac:dyDescent="0.25">
      <c r="B27" s="173" t="s">
        <v>211</v>
      </c>
      <c r="D27" s="53">
        <v>29944</v>
      </c>
      <c r="E27" s="53">
        <v>29963</v>
      </c>
      <c r="F27" s="53">
        <v>29856</v>
      </c>
      <c r="G27" s="93">
        <f>G20/G29</f>
        <v>29382.972972972973</v>
      </c>
      <c r="H27" s="137">
        <f>H20/H29</f>
        <v>28062.318840579712</v>
      </c>
      <c r="I27" s="30">
        <f>H27-1200</f>
        <v>26862.318840579712</v>
      </c>
      <c r="J27" s="30">
        <f t="shared" ref="J27:M27" si="19">I27-1200</f>
        <v>25662.318840579712</v>
      </c>
      <c r="K27" s="30">
        <f t="shared" si="19"/>
        <v>24462.318840579712</v>
      </c>
      <c r="L27" s="30">
        <f t="shared" si="19"/>
        <v>23262.318840579712</v>
      </c>
      <c r="M27" s="30">
        <f t="shared" si="19"/>
        <v>22062.318840579712</v>
      </c>
    </row>
    <row r="28" spans="2:13" x14ac:dyDescent="0.25">
      <c r="B28" s="173" t="s">
        <v>208</v>
      </c>
      <c r="D28" s="174">
        <f>D20/D26</f>
        <v>1.4329671806241393</v>
      </c>
      <c r="E28" s="174">
        <f t="shared" ref="E28:F28" si="20">E20/E26</f>
        <v>1.7712173418526076</v>
      </c>
      <c r="F28" s="174">
        <f t="shared" si="20"/>
        <v>2.3573180153851321</v>
      </c>
      <c r="G28" s="175">
        <v>3.72</v>
      </c>
      <c r="H28" s="176">
        <v>6.23</v>
      </c>
      <c r="I28" s="174">
        <f>I20/I26</f>
        <v>4.9846088323635298</v>
      </c>
      <c r="J28" s="174">
        <f t="shared" ref="J28:M28" si="21">J20/J26</f>
        <v>5.7427529416182317</v>
      </c>
      <c r="K28" s="174">
        <f t="shared" si="21"/>
        <v>6.6959382052733298</v>
      </c>
      <c r="L28" s="174">
        <f t="shared" si="21"/>
        <v>8.2078582511284086</v>
      </c>
      <c r="M28" s="174">
        <f t="shared" si="21"/>
        <v>10.079901943214528</v>
      </c>
    </row>
    <row r="29" spans="2:13" x14ac:dyDescent="0.25">
      <c r="B29" s="173" t="s">
        <v>209</v>
      </c>
      <c r="D29" s="174">
        <f>D20/D27</f>
        <v>1.4245925728025648</v>
      </c>
      <c r="E29" s="174">
        <f t="shared" ref="E29:F29" si="22">E20/E27</f>
        <v>1.7670793979241064</v>
      </c>
      <c r="F29" s="174">
        <f t="shared" si="22"/>
        <v>2.3504488210075025</v>
      </c>
      <c r="G29" s="175">
        <v>3.7</v>
      </c>
      <c r="H29" s="176">
        <v>6.21</v>
      </c>
      <c r="I29" s="174">
        <f>I20/I27</f>
        <v>4.9678920346655282</v>
      </c>
      <c r="J29" s="174">
        <f t="shared" ref="J29:M29" si="23">J20/J27</f>
        <v>5.7225929781811935</v>
      </c>
      <c r="K29" s="174">
        <f t="shared" si="23"/>
        <v>6.671278986233931</v>
      </c>
      <c r="L29" s="174">
        <f t="shared" si="23"/>
        <v>8.1760717777121421</v>
      </c>
      <c r="M29" s="174">
        <f t="shared" si="23"/>
        <v>10.038742389758051</v>
      </c>
    </row>
    <row r="30" spans="2:13" x14ac:dyDescent="0.25">
      <c r="B30" s="173"/>
      <c r="H30" s="3"/>
    </row>
    <row r="31" spans="2:13" ht="15.6" x14ac:dyDescent="0.3">
      <c r="B31" s="57" t="s">
        <v>42</v>
      </c>
      <c r="C31" s="18"/>
      <c r="D31" s="18"/>
      <c r="E31" s="18"/>
      <c r="F31" s="18"/>
      <c r="G31" s="18"/>
      <c r="H31" s="4"/>
      <c r="I31" s="18"/>
      <c r="J31" s="18"/>
      <c r="K31" s="18"/>
      <c r="L31" s="18"/>
      <c r="M31" s="18"/>
    </row>
    <row r="32" spans="2:13" x14ac:dyDescent="0.25">
      <c r="B32" s="1" t="s">
        <v>43</v>
      </c>
      <c r="D32" s="58">
        <f>D5/D4</f>
        <v>0.20324103900149379</v>
      </c>
      <c r="E32" s="58">
        <f t="shared" ref="E32:H32" si="24">E5/E4</f>
        <v>0.17731825543114949</v>
      </c>
      <c r="F32" s="58">
        <f t="shared" si="24"/>
        <v>0.15355990044668572</v>
      </c>
      <c r="G32" s="58">
        <f t="shared" si="24"/>
        <v>0.14642213973317653</v>
      </c>
      <c r="H32" s="60">
        <f t="shared" si="24"/>
        <v>0.1378454279453486</v>
      </c>
      <c r="I32" s="275">
        <f>'Financial Projections'!I3</f>
        <v>0.13</v>
      </c>
      <c r="J32" s="275">
        <f>'Financial Projections'!J3</f>
        <v>0.127</v>
      </c>
      <c r="K32" s="275">
        <f>'Financial Projections'!K3</f>
        <v>0.124</v>
      </c>
      <c r="L32" s="275">
        <f>'Financial Projections'!L3</f>
        <v>0.121</v>
      </c>
      <c r="M32" s="275">
        <f>'Financial Projections'!M3</f>
        <v>0.121</v>
      </c>
    </row>
    <row r="33" spans="2:13" x14ac:dyDescent="0.25">
      <c r="B33" s="1" t="s">
        <v>29</v>
      </c>
      <c r="D33" s="58">
        <f>D9/D4</f>
        <v>0.29730408988254953</v>
      </c>
      <c r="E33" s="58">
        <f t="shared" ref="E33:H33" si="25">E9/E4</f>
        <v>0.34422873062001952</v>
      </c>
      <c r="F33" s="58">
        <f t="shared" si="25"/>
        <v>0.3620936627142407</v>
      </c>
      <c r="G33" s="58">
        <f t="shared" si="25"/>
        <v>0.37280823001340668</v>
      </c>
      <c r="H33" s="60">
        <f t="shared" si="25"/>
        <v>0.37532305952618417</v>
      </c>
      <c r="I33" s="61">
        <v>0.35</v>
      </c>
      <c r="J33" s="61">
        <f t="shared" ref="J33:M33" si="26">AVERAGE(E33:I33)</f>
        <v>0.36089073657477028</v>
      </c>
      <c r="K33" s="61">
        <f t="shared" si="26"/>
        <v>0.36422313776572035</v>
      </c>
      <c r="L33" s="61">
        <f t="shared" si="26"/>
        <v>0.36464903277601629</v>
      </c>
      <c r="M33" s="61">
        <f t="shared" si="26"/>
        <v>0.36301719332853821</v>
      </c>
    </row>
    <row r="34" spans="2:13" x14ac:dyDescent="0.25">
      <c r="B34" s="1" t="s">
        <v>30</v>
      </c>
      <c r="D34" s="58">
        <f>D10/D4</f>
        <v>0.22263559196041091</v>
      </c>
      <c r="E34" s="58">
        <f t="shared" ref="E34:H34" si="27">E10/E4</f>
        <v>0.18757219855616872</v>
      </c>
      <c r="F34" s="58">
        <f t="shared" si="27"/>
        <v>0.2106226429448653</v>
      </c>
      <c r="G34" s="58">
        <f t="shared" si="27"/>
        <v>0.18664060964482659</v>
      </c>
      <c r="H34" s="60">
        <f t="shared" si="27"/>
        <v>0.18419379697009269</v>
      </c>
      <c r="I34" s="275">
        <f>'Financial Projections'!I10</f>
        <v>0.182</v>
      </c>
      <c r="J34" s="275">
        <f>'Financial Projections'!J10</f>
        <v>0.18</v>
      </c>
      <c r="K34" s="275">
        <f>'Financial Projections'!K10</f>
        <v>0.17799999999999999</v>
      </c>
      <c r="L34" s="275">
        <f>'Financial Projections'!L10</f>
        <v>0.17599999999999999</v>
      </c>
      <c r="M34" s="275">
        <f>'Financial Projections'!M10</f>
        <v>0.17599999999999999</v>
      </c>
    </row>
    <row r="35" spans="2:13" x14ac:dyDescent="0.25">
      <c r="B35" s="1" t="s">
        <v>31</v>
      </c>
      <c r="D35" s="58">
        <f>D11/D4</f>
        <v>2.8116615103609886E-2</v>
      </c>
      <c r="E35" s="58">
        <f t="shared" ref="E35:H35" si="28">E11/E4</f>
        <v>3.0484922563989249E-2</v>
      </c>
      <c r="F35" s="58">
        <f t="shared" si="28"/>
        <v>2.8776994055058635E-2</v>
      </c>
      <c r="G35" s="58">
        <f t="shared" si="28"/>
        <v>3.1143787142042197E-2</v>
      </c>
      <c r="H35" s="60">
        <f t="shared" si="28"/>
        <v>3.5973153591934023E-2</v>
      </c>
      <c r="I35" s="126">
        <v>4.2999999999999997E-2</v>
      </c>
      <c r="J35" s="61">
        <f t="shared" ref="J35:M35" si="29">AVERAGE(E35:I35)</f>
        <v>3.3875771470604818E-2</v>
      </c>
      <c r="K35" s="61">
        <f t="shared" si="29"/>
        <v>3.4553941251927935E-2</v>
      </c>
      <c r="L35" s="61">
        <f t="shared" si="29"/>
        <v>3.5709330691301791E-2</v>
      </c>
      <c r="M35" s="61">
        <f t="shared" si="29"/>
        <v>3.6622439401153714E-2</v>
      </c>
    </row>
    <row r="36" spans="2:13" x14ac:dyDescent="0.25">
      <c r="B36" s="1" t="s">
        <v>32</v>
      </c>
      <c r="D36" s="58">
        <f>D12/D4</f>
        <v>-1.2378673425320882E-2</v>
      </c>
      <c r="E36" s="58">
        <f t="shared" ref="E36:H36" si="30">E12/E4</f>
        <v>3.2557528089259091E-3</v>
      </c>
      <c r="F36" s="58">
        <f t="shared" si="30"/>
        <v>2.0649704926584866E-4</v>
      </c>
      <c r="G36" s="58">
        <f t="shared" si="30"/>
        <v>-1.658658340350939E-3</v>
      </c>
      <c r="H36" s="60">
        <f t="shared" si="30"/>
        <v>9.3778745302093847E-3</v>
      </c>
      <c r="I36" s="61">
        <f t="shared" ref="I36" si="31">AVERAGE(D36:H36)</f>
        <v>-2.3944147545413574E-4</v>
      </c>
      <c r="J36" s="61">
        <f t="shared" ref="J36:M36" si="32">AVERAGE(E36:I36)</f>
        <v>2.1884049145192135E-3</v>
      </c>
      <c r="K36" s="61">
        <f t="shared" si="32"/>
        <v>1.9749353356378744E-3</v>
      </c>
      <c r="L36" s="61">
        <f t="shared" si="32"/>
        <v>2.3286229929122795E-3</v>
      </c>
      <c r="M36" s="61">
        <f t="shared" si="32"/>
        <v>3.1260792595649233E-3</v>
      </c>
    </row>
    <row r="37" spans="2:13" x14ac:dyDescent="0.25">
      <c r="B37" s="1" t="s">
        <v>40</v>
      </c>
      <c r="D37" s="58">
        <f>D17/D4</f>
        <v>-4.7787272302496971E-4</v>
      </c>
      <c r="E37" s="58">
        <f t="shared" ref="E37:H37" si="33">E17/E4</f>
        <v>1.6027030580021873E-3</v>
      </c>
      <c r="F37" s="58">
        <f t="shared" si="33"/>
        <v>1.2389822955950918E-4</v>
      </c>
      <c r="G37" s="58">
        <f t="shared" si="33"/>
        <v>-4.5796867085219567E-3</v>
      </c>
      <c r="H37" s="60">
        <f t="shared" si="33"/>
        <v>-0.13443581357904752</v>
      </c>
      <c r="I37" s="61">
        <f>AVERAGE(D37:G37)</f>
        <v>-8.3273953599630754E-4</v>
      </c>
      <c r="J37" s="275">
        <f>I37</f>
        <v>-8.3273953599630754E-4</v>
      </c>
      <c r="K37" s="275">
        <f t="shared" ref="K37:M37" si="34">J37</f>
        <v>-8.3273953599630754E-4</v>
      </c>
      <c r="L37" s="275">
        <f t="shared" si="34"/>
        <v>-8.3273953599630754E-4</v>
      </c>
      <c r="M37" s="275">
        <f t="shared" si="34"/>
        <v>-8.3273953599630754E-4</v>
      </c>
    </row>
    <row r="38" spans="2:13" x14ac:dyDescent="0.25">
      <c r="B38" s="1" t="s">
        <v>37</v>
      </c>
      <c r="D38" s="58">
        <f>D19/D18</f>
        <v>0.27584158079684928</v>
      </c>
      <c r="E38" s="58">
        <f t="shared" ref="E38:H38" si="35">E19/E18</f>
        <v>0.23615038374978359</v>
      </c>
      <c r="F38" s="58">
        <f t="shared" si="35"/>
        <v>0.25591135616583605</v>
      </c>
      <c r="G38" s="58">
        <f t="shared" si="35"/>
        <v>0.26138324614443914</v>
      </c>
      <c r="H38" s="60">
        <f t="shared" si="35"/>
        <v>0.26528211679293728</v>
      </c>
      <c r="I38" s="127">
        <f>H38</f>
        <v>0.26528211679293728</v>
      </c>
      <c r="J38" s="127">
        <f t="shared" ref="J38:M38" si="36">I38</f>
        <v>0.26528211679293728</v>
      </c>
      <c r="K38" s="127">
        <f t="shared" si="36"/>
        <v>0.26528211679293728</v>
      </c>
      <c r="L38" s="127">
        <f t="shared" si="36"/>
        <v>0.26528211679293728</v>
      </c>
      <c r="M38" s="127">
        <f t="shared" si="36"/>
        <v>0.26528211679293728</v>
      </c>
    </row>
  </sheetData>
  <pageMargins left="0.7" right="0.7" top="0.75" bottom="0.75" header="0.3" footer="0.3"/>
  <pageSetup orientation="portrait" horizontalDpi="0"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CB61-2CE9-4C7E-B888-09C259360EC4}">
  <dimension ref="B2:M84"/>
  <sheetViews>
    <sheetView showGridLines="0" zoomScale="67" zoomScaleNormal="90" workbookViewId="0">
      <pane xSplit="1" ySplit="3" topLeftCell="B54" activePane="bottomRight" state="frozen"/>
      <selection pane="topRight" activeCell="B1" sqref="B1"/>
      <selection pane="bottomLeft" activeCell="A4" sqref="A4"/>
      <selection pane="bottomRight" activeCell="J20" sqref="J20"/>
    </sheetView>
  </sheetViews>
  <sheetFormatPr defaultRowHeight="15" x14ac:dyDescent="0.25"/>
  <cols>
    <col min="1" max="1" width="3.77734375" style="63" customWidth="1"/>
    <col min="2" max="2" width="49.77734375" style="63" bestFit="1" customWidth="1"/>
    <col min="3" max="3" width="2.77734375" style="63" customWidth="1"/>
    <col min="4" max="7" width="11.6640625" style="63" bestFit="1" customWidth="1"/>
    <col min="8" max="8" width="20.6640625" style="63" bestFit="1" customWidth="1"/>
    <col min="9" max="11" width="12.109375" style="63" bestFit="1" customWidth="1"/>
    <col min="12" max="13" width="13.6640625" style="63" bestFit="1" customWidth="1"/>
    <col min="14" max="16384" width="8.88671875" style="63"/>
  </cols>
  <sheetData>
    <row r="2" spans="2:13" ht="15.6" x14ac:dyDescent="0.3">
      <c r="B2" s="11" t="s">
        <v>4</v>
      </c>
      <c r="C2" s="11"/>
      <c r="D2" s="10"/>
      <c r="E2" s="10"/>
      <c r="F2" s="10"/>
      <c r="G2" s="10"/>
      <c r="H2" s="10"/>
      <c r="I2" s="10"/>
      <c r="J2" s="10"/>
      <c r="K2" s="10"/>
      <c r="L2" s="10"/>
      <c r="M2" s="10"/>
    </row>
    <row r="3" spans="2:13" ht="15.6" x14ac:dyDescent="0.3">
      <c r="B3" s="101" t="s">
        <v>13</v>
      </c>
      <c r="C3" s="101"/>
      <c r="D3" s="64">
        <v>2021</v>
      </c>
      <c r="E3" s="64">
        <f>D3+1</f>
        <v>2022</v>
      </c>
      <c r="F3" s="64">
        <f t="shared" ref="F3:M3" si="0">E3+1</f>
        <v>2023</v>
      </c>
      <c r="G3" s="64">
        <f t="shared" si="0"/>
        <v>2024</v>
      </c>
      <c r="H3" s="64">
        <f t="shared" si="0"/>
        <v>2025</v>
      </c>
      <c r="I3" s="65">
        <f t="shared" si="0"/>
        <v>2026</v>
      </c>
      <c r="J3" s="65">
        <f t="shared" si="0"/>
        <v>2027</v>
      </c>
      <c r="K3" s="65">
        <f t="shared" si="0"/>
        <v>2028</v>
      </c>
      <c r="L3" s="65">
        <f t="shared" si="0"/>
        <v>2029</v>
      </c>
      <c r="M3" s="65">
        <f t="shared" si="0"/>
        <v>2030</v>
      </c>
    </row>
    <row r="4" spans="2:13" ht="15.6" x14ac:dyDescent="0.3">
      <c r="B4" s="71" t="s">
        <v>44</v>
      </c>
      <c r="C4" s="71"/>
      <c r="D4" s="67"/>
      <c r="E4" s="67"/>
      <c r="F4" s="67"/>
      <c r="G4" s="67"/>
      <c r="H4" s="76"/>
    </row>
    <row r="5" spans="2:13" x14ac:dyDescent="0.25">
      <c r="B5" s="68" t="s">
        <v>51</v>
      </c>
      <c r="C5" s="68"/>
      <c r="D5" s="69">
        <v>48583</v>
      </c>
      <c r="E5" s="69">
        <v>184496</v>
      </c>
      <c r="F5" s="69">
        <v>90216</v>
      </c>
      <c r="G5" s="69">
        <v>315910</v>
      </c>
      <c r="H5" s="77">
        <v>196572</v>
      </c>
      <c r="I5" s="138">
        <f>'Cash Flow Statement (Manual)'!H45</f>
        <v>128744.96492417983</v>
      </c>
      <c r="J5" s="138">
        <f>'Cash Flow Statement (Manual)'!I45</f>
        <v>76209.367587108602</v>
      </c>
      <c r="K5" s="138">
        <f>'Cash Flow Statement (Manual)'!J45</f>
        <v>55049.910349000071</v>
      </c>
      <c r="L5" s="138">
        <f>'Cash Flow Statement (Manual)'!K45</f>
        <v>70614.03700655236</v>
      </c>
      <c r="M5" s="138">
        <f>'Cash Flow Statement (Manual)'!L45</f>
        <v>103499.7241295545</v>
      </c>
    </row>
    <row r="6" spans="2:13" x14ac:dyDescent="0.25">
      <c r="B6" s="68" t="s">
        <v>52</v>
      </c>
      <c r="C6" s="68"/>
      <c r="D6" s="69">
        <v>3448</v>
      </c>
      <c r="E6" s="69">
        <v>13296</v>
      </c>
      <c r="F6" s="69">
        <v>11444</v>
      </c>
      <c r="G6" s="69">
        <v>20868</v>
      </c>
      <c r="H6" s="77">
        <v>25994</v>
      </c>
      <c r="I6" s="93">
        <f>I46*I49</f>
        <v>22086.295943241697</v>
      </c>
      <c r="J6" s="93">
        <f t="shared" ref="J6:M6" si="1">J46*J49</f>
        <v>26564.123344316475</v>
      </c>
      <c r="K6" s="93">
        <f t="shared" si="1"/>
        <v>29576.063054363203</v>
      </c>
      <c r="L6" s="93">
        <f t="shared" si="1"/>
        <v>34829.998945691805</v>
      </c>
      <c r="M6" s="93">
        <f t="shared" si="1"/>
        <v>39413.857220249323</v>
      </c>
    </row>
    <row r="7" spans="2:13" x14ac:dyDescent="0.25">
      <c r="B7" s="68" t="s">
        <v>53</v>
      </c>
      <c r="C7" s="68"/>
      <c r="D7" s="69">
        <v>6993</v>
      </c>
      <c r="E7" s="69">
        <v>9461</v>
      </c>
      <c r="F7" s="69">
        <v>12408</v>
      </c>
      <c r="G7" s="69">
        <v>19661</v>
      </c>
      <c r="H7" s="77">
        <v>20823</v>
      </c>
      <c r="I7" s="93">
        <f>I47/365*I46</f>
        <v>25053.012353949282</v>
      </c>
      <c r="J7" s="93">
        <f t="shared" ref="J7:M7" si="2">J47/365*J46</f>
        <v>27005.652396947822</v>
      </c>
      <c r="K7" s="93">
        <f t="shared" si="2"/>
        <v>33580.574497503301</v>
      </c>
      <c r="L7" s="93">
        <f t="shared" si="2"/>
        <v>37973.659769050035</v>
      </c>
      <c r="M7" s="93">
        <f t="shared" si="2"/>
        <v>43150.30882379895</v>
      </c>
    </row>
    <row r="8" spans="2:13" x14ac:dyDescent="0.25">
      <c r="B8" s="68" t="s">
        <v>54</v>
      </c>
      <c r="C8" s="68"/>
      <c r="D8" s="69">
        <v>4928</v>
      </c>
      <c r="E8" s="69">
        <v>4252</v>
      </c>
      <c r="F8" s="69">
        <v>4948</v>
      </c>
      <c r="G8" s="69">
        <v>6520</v>
      </c>
      <c r="H8" s="77">
        <v>7956</v>
      </c>
      <c r="I8" s="93">
        <f>I46*I50</f>
        <v>9438.1814439389727</v>
      </c>
      <c r="J8" s="93">
        <f t="shared" ref="J8:M8" si="3">J46*J50</f>
        <v>9342.758463026521</v>
      </c>
      <c r="K8" s="93">
        <f t="shared" si="3"/>
        <v>10625.854771420067</v>
      </c>
      <c r="L8" s="93">
        <f t="shared" si="3"/>
        <v>12125.732166667172</v>
      </c>
      <c r="M8" s="93">
        <f t="shared" si="3"/>
        <v>14010.01271620678</v>
      </c>
    </row>
    <row r="9" spans="2:13" ht="15.6" thickBot="1" x14ac:dyDescent="0.3">
      <c r="B9" s="75" t="s">
        <v>55</v>
      </c>
      <c r="C9" s="75"/>
      <c r="D9" s="74">
        <v>6197</v>
      </c>
      <c r="E9" s="74">
        <v>15167</v>
      </c>
      <c r="F9" s="74">
        <v>25328</v>
      </c>
      <c r="G9" s="74">
        <v>32659</v>
      </c>
      <c r="H9" s="74">
        <v>16143</v>
      </c>
      <c r="I9" s="99">
        <f>I51*I46</f>
        <v>29683.425427211958</v>
      </c>
      <c r="J9" s="100">
        <f t="shared" ref="J9:M9" si="4">J51*J46</f>
        <v>28749.767447584043</v>
      </c>
      <c r="K9" s="100">
        <f t="shared" si="4"/>
        <v>28285.17621135855</v>
      </c>
      <c r="L9" s="100">
        <f t="shared" si="4"/>
        <v>31985.505728545992</v>
      </c>
      <c r="M9" s="100">
        <f t="shared" si="4"/>
        <v>30288.197539781955</v>
      </c>
    </row>
    <row r="10" spans="2:13" ht="15.6" x14ac:dyDescent="0.3">
      <c r="B10" s="71" t="s">
        <v>56</v>
      </c>
      <c r="C10" s="71"/>
      <c r="D10" s="72">
        <f>SUM(D5:D9)</f>
        <v>70149</v>
      </c>
      <c r="E10" s="72">
        <f t="shared" ref="E10:H10" si="5">SUM(E5:E9)</f>
        <v>226672</v>
      </c>
      <c r="F10" s="72">
        <f t="shared" si="5"/>
        <v>144344</v>
      </c>
      <c r="G10" s="72">
        <f t="shared" si="5"/>
        <v>395618</v>
      </c>
      <c r="H10" s="78">
        <f t="shared" si="5"/>
        <v>267488</v>
      </c>
      <c r="I10" s="115">
        <f>SUM(I5:I9)</f>
        <v>215005.88009252172</v>
      </c>
      <c r="J10" s="115">
        <f t="shared" ref="J10:M10" si="6">SUM(J5:J9)</f>
        <v>167871.66923898345</v>
      </c>
      <c r="K10" s="115">
        <f t="shared" si="6"/>
        <v>157117.57888364518</v>
      </c>
      <c r="L10" s="115">
        <f t="shared" si="6"/>
        <v>187528.93361650739</v>
      </c>
      <c r="M10" s="115">
        <f t="shared" si="6"/>
        <v>230362.10042959152</v>
      </c>
    </row>
    <row r="11" spans="2:13" x14ac:dyDescent="0.25">
      <c r="B11" s="70" t="s">
        <v>57</v>
      </c>
      <c r="C11" s="70"/>
      <c r="D11" s="69">
        <v>54503</v>
      </c>
      <c r="E11" s="69">
        <v>66851</v>
      </c>
      <c r="F11" s="69">
        <v>91292</v>
      </c>
      <c r="G11" s="69">
        <v>125953</v>
      </c>
      <c r="H11" s="77">
        <v>130581</v>
      </c>
      <c r="I11" s="62">
        <f>I67</f>
        <v>148633.46608862633</v>
      </c>
      <c r="J11" s="62">
        <f t="shared" ref="J11:M11" si="7">J67</f>
        <v>174826.82481378663</v>
      </c>
      <c r="K11" s="62">
        <f t="shared" si="7"/>
        <v>202486.96049841677</v>
      </c>
      <c r="L11" s="62">
        <f t="shared" si="7"/>
        <v>233604.54853849922</v>
      </c>
      <c r="M11" s="62">
        <f t="shared" si="7"/>
        <v>265308.91949532664</v>
      </c>
    </row>
    <row r="12" spans="2:13" x14ac:dyDescent="0.25">
      <c r="B12" s="70" t="s">
        <v>58</v>
      </c>
      <c r="C12" s="70"/>
      <c r="D12" s="69">
        <v>0</v>
      </c>
      <c r="E12" s="69">
        <v>0</v>
      </c>
      <c r="F12" s="69">
        <v>0</v>
      </c>
      <c r="G12" s="69">
        <v>49046</v>
      </c>
      <c r="H12" s="77">
        <v>48637</v>
      </c>
      <c r="I12" s="93">
        <f>I46*I58</f>
        <v>45721.747545957442</v>
      </c>
      <c r="J12" s="93">
        <f t="shared" ref="J12:M12" si="8">J46*J58</f>
        <v>45178.205989060632</v>
      </c>
      <c r="K12" s="93">
        <f t="shared" si="8"/>
        <v>47141.960352264257</v>
      </c>
      <c r="L12" s="93">
        <f t="shared" si="8"/>
        <v>47978.258592818987</v>
      </c>
      <c r="M12" s="93">
        <f t="shared" si="8"/>
        <v>48461.116063651127</v>
      </c>
    </row>
    <row r="13" spans="2:13" x14ac:dyDescent="0.25">
      <c r="B13" s="70" t="s">
        <v>59</v>
      </c>
      <c r="C13" s="70"/>
      <c r="D13" s="69">
        <v>56877</v>
      </c>
      <c r="E13" s="69">
        <v>62514</v>
      </c>
      <c r="F13" s="69">
        <v>67708</v>
      </c>
      <c r="G13" s="69">
        <v>74718</v>
      </c>
      <c r="H13" s="77">
        <v>83875</v>
      </c>
      <c r="I13" s="92">
        <f>H13</f>
        <v>83875</v>
      </c>
      <c r="J13" s="92">
        <f t="shared" ref="J13:M13" si="9">I13</f>
        <v>83875</v>
      </c>
      <c r="K13" s="92">
        <f t="shared" si="9"/>
        <v>83875</v>
      </c>
      <c r="L13" s="92">
        <f t="shared" si="9"/>
        <v>83875</v>
      </c>
      <c r="M13" s="92">
        <f t="shared" si="9"/>
        <v>83875</v>
      </c>
    </row>
    <row r="14" spans="2:13" x14ac:dyDescent="0.25">
      <c r="B14" s="70" t="s">
        <v>60</v>
      </c>
      <c r="C14" s="70"/>
      <c r="D14" s="69">
        <v>32700</v>
      </c>
      <c r="E14" s="69">
        <v>32700</v>
      </c>
      <c r="F14" s="69">
        <v>32700</v>
      </c>
      <c r="G14" s="69">
        <v>32700</v>
      </c>
      <c r="H14" s="77">
        <v>32700</v>
      </c>
      <c r="I14" s="92">
        <f>H14</f>
        <v>32700</v>
      </c>
      <c r="J14" s="92">
        <f t="shared" ref="J14:M14" si="10">I14</f>
        <v>32700</v>
      </c>
      <c r="K14" s="92">
        <f t="shared" si="10"/>
        <v>32700</v>
      </c>
      <c r="L14" s="92">
        <f t="shared" si="10"/>
        <v>32700</v>
      </c>
      <c r="M14" s="92">
        <f t="shared" si="10"/>
        <v>32700</v>
      </c>
    </row>
    <row r="15" spans="2:13" x14ac:dyDescent="0.25">
      <c r="B15" s="70" t="s">
        <v>61</v>
      </c>
      <c r="C15" s="70"/>
      <c r="D15" s="69">
        <v>10302</v>
      </c>
      <c r="E15" s="69">
        <v>9015</v>
      </c>
      <c r="F15" s="69">
        <v>7740</v>
      </c>
      <c r="G15" s="69">
        <v>0</v>
      </c>
      <c r="H15" s="77">
        <v>0</v>
      </c>
      <c r="I15" s="92">
        <f>H15</f>
        <v>0</v>
      </c>
      <c r="J15" s="92">
        <f t="shared" ref="J15:M15" si="11">I15</f>
        <v>0</v>
      </c>
      <c r="K15" s="92">
        <f t="shared" si="11"/>
        <v>0</v>
      </c>
      <c r="L15" s="92">
        <f t="shared" si="11"/>
        <v>0</v>
      </c>
      <c r="M15" s="92">
        <f t="shared" si="11"/>
        <v>0</v>
      </c>
    </row>
    <row r="16" spans="2:13" x14ac:dyDescent="0.25">
      <c r="B16" s="70" t="s">
        <v>62</v>
      </c>
      <c r="C16" s="70"/>
      <c r="D16" s="69">
        <v>0</v>
      </c>
      <c r="E16" s="69">
        <v>0</v>
      </c>
      <c r="F16" s="69">
        <v>0</v>
      </c>
      <c r="G16" s="69">
        <v>8511</v>
      </c>
      <c r="H16" s="77">
        <v>87164</v>
      </c>
      <c r="I16" s="92">
        <f>H16</f>
        <v>87164</v>
      </c>
      <c r="J16" s="92">
        <f t="shared" ref="J16:M16" si="12">I16</f>
        <v>87164</v>
      </c>
      <c r="K16" s="92">
        <f t="shared" si="12"/>
        <v>87164</v>
      </c>
      <c r="L16" s="92">
        <f t="shared" si="12"/>
        <v>87164</v>
      </c>
      <c r="M16" s="92">
        <f t="shared" si="12"/>
        <v>87164</v>
      </c>
    </row>
    <row r="17" spans="2:13" ht="15.6" thickBot="1" x14ac:dyDescent="0.3">
      <c r="B17" s="73" t="s">
        <v>63</v>
      </c>
      <c r="C17" s="73"/>
      <c r="D17" s="74">
        <v>24672</v>
      </c>
      <c r="E17" s="74">
        <v>26438</v>
      </c>
      <c r="F17" s="74">
        <v>34041</v>
      </c>
      <c r="G17" s="74">
        <v>29700</v>
      </c>
      <c r="H17" s="74">
        <v>42964</v>
      </c>
      <c r="I17" s="99">
        <f>I46*I52</f>
        <v>46982.389914958527</v>
      </c>
      <c r="J17" s="100">
        <f>J46*J52</f>
        <v>50644.212875312325</v>
      </c>
      <c r="K17" s="100">
        <f>K46*K52</f>
        <v>47141.960352264257</v>
      </c>
      <c r="L17" s="100">
        <f>L46*L52</f>
        <v>31985.505728545992</v>
      </c>
      <c r="M17" s="100">
        <f>M46*M52</f>
        <v>36345.837047738343</v>
      </c>
    </row>
    <row r="18" spans="2:13" ht="15.6" x14ac:dyDescent="0.3">
      <c r="B18" s="71" t="s">
        <v>45</v>
      </c>
      <c r="C18" s="71"/>
      <c r="D18" s="72">
        <f>SUM(D10:D17)</f>
        <v>249203</v>
      </c>
      <c r="E18" s="72">
        <f t="shared" ref="E18:H18" si="13">SUM(E10:E17)</f>
        <v>424190</v>
      </c>
      <c r="F18" s="72">
        <f t="shared" si="13"/>
        <v>377825</v>
      </c>
      <c r="G18" s="72">
        <f t="shared" si="13"/>
        <v>716246</v>
      </c>
      <c r="H18" s="78">
        <f t="shared" si="13"/>
        <v>693409</v>
      </c>
      <c r="I18" s="115">
        <f>SUM(I10:I17)</f>
        <v>660082.48364206403</v>
      </c>
      <c r="J18" s="115">
        <f t="shared" ref="J18:M18" si="14">SUM(J10:J17)</f>
        <v>642259.91291714308</v>
      </c>
      <c r="K18" s="115">
        <f t="shared" si="14"/>
        <v>657627.46008659038</v>
      </c>
      <c r="L18" s="115">
        <f t="shared" si="14"/>
        <v>704836.24647637154</v>
      </c>
      <c r="M18" s="115">
        <f t="shared" si="14"/>
        <v>784216.97303630773</v>
      </c>
    </row>
    <row r="19" spans="2:13" x14ac:dyDescent="0.25">
      <c r="B19" s="1"/>
      <c r="C19" s="1"/>
      <c r="H19" s="79"/>
    </row>
    <row r="20" spans="2:13" ht="15.6" x14ac:dyDescent="0.3">
      <c r="B20" s="71" t="s">
        <v>46</v>
      </c>
      <c r="C20" s="66"/>
      <c r="D20" s="67"/>
      <c r="E20" s="67"/>
      <c r="F20" s="67"/>
      <c r="G20" s="67"/>
      <c r="H20" s="80"/>
    </row>
    <row r="21" spans="2:13" ht="15.6" x14ac:dyDescent="0.3">
      <c r="B21" s="71" t="s">
        <v>47</v>
      </c>
      <c r="C21" s="66"/>
      <c r="D21" s="67"/>
      <c r="E21" s="67"/>
      <c r="F21" s="67"/>
      <c r="G21" s="67"/>
      <c r="H21" s="80"/>
    </row>
    <row r="22" spans="2:13" x14ac:dyDescent="0.25">
      <c r="B22" s="70" t="s">
        <v>64</v>
      </c>
      <c r="C22" s="70"/>
      <c r="D22" s="69">
        <v>5414</v>
      </c>
      <c r="E22" s="69">
        <v>5219</v>
      </c>
      <c r="F22" s="69">
        <v>4725</v>
      </c>
      <c r="G22" s="69">
        <v>6943</v>
      </c>
      <c r="H22" s="77">
        <v>12846</v>
      </c>
      <c r="I22" s="93">
        <f>(I48/365)*'Income Statement'!I5</f>
        <v>9499.2671842057698</v>
      </c>
      <c r="J22" s="93">
        <f>(J48/365)*'Income Statement'!J5</f>
        <v>10003.34374203609</v>
      </c>
      <c r="K22" s="93">
        <f>(K48/365)*'Income Statement'!K5</f>
        <v>11210.745639935718</v>
      </c>
      <c r="L22" s="93">
        <f>(L48/365)*'Income Statement'!L5</f>
        <v>12370.649932455914</v>
      </c>
      <c r="M22" s="93">
        <f>(M48/365)*'Income Statement'!M5</f>
        <v>14057.042912983732</v>
      </c>
    </row>
    <row r="23" spans="2:13" x14ac:dyDescent="0.25">
      <c r="B23" s="70" t="s">
        <v>65</v>
      </c>
      <c r="C23" s="70"/>
      <c r="D23" s="69">
        <v>0</v>
      </c>
      <c r="E23" s="69">
        <v>0</v>
      </c>
      <c r="F23" s="69">
        <v>0</v>
      </c>
      <c r="G23" s="69">
        <v>1059</v>
      </c>
      <c r="H23" s="77">
        <v>3232</v>
      </c>
      <c r="I23" s="93">
        <f>I46*I56</f>
        <v>3048.1165030638299</v>
      </c>
      <c r="J23" s="93">
        <f t="shared" ref="J23:M23" si="15">J46*J56</f>
        <v>2464.2657812214893</v>
      </c>
      <c r="K23" s="93">
        <f t="shared" si="15"/>
        <v>2357.0980176132125</v>
      </c>
      <c r="L23" s="93">
        <f t="shared" si="15"/>
        <v>2132.367048569733</v>
      </c>
      <c r="M23" s="93">
        <f t="shared" si="15"/>
        <v>1817.2918523869173</v>
      </c>
    </row>
    <row r="24" spans="2:13" x14ac:dyDescent="0.25">
      <c r="B24" s="70" t="s">
        <v>66</v>
      </c>
      <c r="C24" s="70"/>
      <c r="D24" s="69">
        <v>28070</v>
      </c>
      <c r="E24" s="69">
        <v>34726</v>
      </c>
      <c r="F24" s="69">
        <v>40951</v>
      </c>
      <c r="G24" s="69">
        <v>46782</v>
      </c>
      <c r="H24" s="77">
        <v>49744</v>
      </c>
      <c r="I24" s="93">
        <f>I46*I55</f>
        <v>53342.038803617026</v>
      </c>
      <c r="J24" s="93">
        <f>J46*J55</f>
        <v>55856.691041020422</v>
      </c>
      <c r="K24" s="93">
        <f>K46*K55</f>
        <v>62227.387664988812</v>
      </c>
      <c r="L24" s="93">
        <f>L46*L55</f>
        <v>68235.745554231456</v>
      </c>
      <c r="M24" s="93">
        <f>M46*M55</f>
        <v>75114.72989865925</v>
      </c>
    </row>
    <row r="25" spans="2:13" x14ac:dyDescent="0.25">
      <c r="B25" s="70" t="s">
        <v>67</v>
      </c>
      <c r="C25" s="70"/>
      <c r="D25" s="69">
        <v>0</v>
      </c>
      <c r="E25" s="69">
        <v>7300</v>
      </c>
      <c r="F25" s="69">
        <v>0</v>
      </c>
      <c r="G25" s="69">
        <v>0</v>
      </c>
      <c r="H25" s="77">
        <v>0</v>
      </c>
      <c r="I25" s="92">
        <f>H25</f>
        <v>0</v>
      </c>
      <c r="J25" s="92">
        <f t="shared" ref="J25:M25" si="16">I25</f>
        <v>0</v>
      </c>
      <c r="K25" s="92">
        <f t="shared" si="16"/>
        <v>0</v>
      </c>
      <c r="L25" s="92">
        <f t="shared" si="16"/>
        <v>0</v>
      </c>
      <c r="M25" s="92">
        <f t="shared" si="16"/>
        <v>0</v>
      </c>
    </row>
    <row r="26" spans="2:13" ht="15.6" thickBot="1" x14ac:dyDescent="0.3">
      <c r="B26" s="73" t="s">
        <v>68</v>
      </c>
      <c r="C26" s="73"/>
      <c r="D26" s="74">
        <v>6197</v>
      </c>
      <c r="E26" s="74">
        <v>15167</v>
      </c>
      <c r="F26" s="74">
        <v>25328</v>
      </c>
      <c r="G26" s="74">
        <v>32659</v>
      </c>
      <c r="H26" s="74">
        <v>16143</v>
      </c>
      <c r="I26" s="129">
        <f>I9</f>
        <v>29683.425427211958</v>
      </c>
      <c r="J26" s="112">
        <f t="shared" ref="J26:M26" si="17">J9</f>
        <v>28749.767447584043</v>
      </c>
      <c r="K26" s="112">
        <f t="shared" si="17"/>
        <v>28285.17621135855</v>
      </c>
      <c r="L26" s="112">
        <f t="shared" si="17"/>
        <v>31985.505728545992</v>
      </c>
      <c r="M26" s="112">
        <f t="shared" si="17"/>
        <v>30288.197539781955</v>
      </c>
    </row>
    <row r="27" spans="2:13" ht="15.6" x14ac:dyDescent="0.3">
      <c r="B27" s="71" t="s">
        <v>69</v>
      </c>
      <c r="C27" s="71"/>
      <c r="D27" s="72">
        <f>SUM(D22:D26)</f>
        <v>39681</v>
      </c>
      <c r="E27" s="72">
        <v>62412</v>
      </c>
      <c r="F27" s="72">
        <v>71004</v>
      </c>
      <c r="G27" s="72">
        <v>87443</v>
      </c>
      <c r="H27" s="78">
        <v>81965</v>
      </c>
      <c r="I27" s="115">
        <f>SUM(I22:I26)</f>
        <v>95572.847918098589</v>
      </c>
      <c r="J27" s="115">
        <f t="shared" ref="J27:M27" si="18">SUM(J22:J26)</f>
        <v>97074.068011862051</v>
      </c>
      <c r="K27" s="115">
        <f t="shared" si="18"/>
        <v>104080.4075338963</v>
      </c>
      <c r="L27" s="115">
        <f t="shared" si="18"/>
        <v>114724.2682638031</v>
      </c>
      <c r="M27" s="115">
        <f t="shared" si="18"/>
        <v>121277.26220381184</v>
      </c>
    </row>
    <row r="28" spans="2:13" x14ac:dyDescent="0.25">
      <c r="B28" s="70" t="s">
        <v>70</v>
      </c>
      <c r="C28" s="70"/>
      <c r="D28" s="69">
        <v>469394</v>
      </c>
      <c r="E28" s="69">
        <v>706846</v>
      </c>
      <c r="F28" s="69">
        <v>712327</v>
      </c>
      <c r="G28" s="69">
        <v>1206201</v>
      </c>
      <c r="H28" s="77">
        <v>1209094</v>
      </c>
      <c r="I28" s="62">
        <f>'Debt Waterfall'!D17</f>
        <v>1220925</v>
      </c>
      <c r="J28" s="62">
        <f>'Debt Waterfall'!E17</f>
        <v>1220925</v>
      </c>
      <c r="K28" s="62">
        <f>'Debt Waterfall'!F17</f>
        <v>1220925</v>
      </c>
      <c r="L28" s="62">
        <f>'Debt Waterfall'!G17</f>
        <v>1220925</v>
      </c>
      <c r="M28" s="62">
        <f>'Debt Waterfall'!H17</f>
        <v>1220925</v>
      </c>
    </row>
    <row r="29" spans="2:13" x14ac:dyDescent="0.25">
      <c r="B29" s="70" t="s">
        <v>71</v>
      </c>
      <c r="C29" s="70"/>
      <c r="D29" s="69">
        <v>0</v>
      </c>
      <c r="E29" s="69">
        <v>0</v>
      </c>
      <c r="F29" s="69">
        <v>0</v>
      </c>
      <c r="G29" s="69">
        <v>58169</v>
      </c>
      <c r="H29" s="77">
        <v>58080</v>
      </c>
      <c r="I29" s="93">
        <f>I57*I46</f>
        <v>53342.038803617026</v>
      </c>
      <c r="J29" s="93">
        <f t="shared" ref="J29:M29" si="19">J57*J46</f>
        <v>53392.425259798933</v>
      </c>
      <c r="K29" s="93">
        <f t="shared" si="19"/>
        <v>56570.3524227171</v>
      </c>
      <c r="L29" s="93">
        <f t="shared" si="19"/>
        <v>58640.093835667656</v>
      </c>
      <c r="M29" s="93">
        <f t="shared" si="19"/>
        <v>60576.39507956391</v>
      </c>
    </row>
    <row r="30" spans="2:13" x14ac:dyDescent="0.25">
      <c r="B30" s="70" t="s">
        <v>72</v>
      </c>
      <c r="C30" s="70"/>
      <c r="D30" s="69">
        <v>28024</v>
      </c>
      <c r="E30" s="69">
        <v>27052</v>
      </c>
      <c r="F30" s="69">
        <v>30145</v>
      </c>
      <c r="G30" s="69">
        <v>38877</v>
      </c>
      <c r="H30" s="77">
        <v>47721</v>
      </c>
      <c r="I30" s="93">
        <f>I46*I59</f>
        <v>49531.893174787234</v>
      </c>
      <c r="J30" s="93">
        <f t="shared" ref="J30:M30" si="20">J46*J59</f>
        <v>50928.159478577443</v>
      </c>
      <c r="K30" s="93">
        <f t="shared" si="20"/>
        <v>55627.513215671817</v>
      </c>
      <c r="L30" s="93">
        <f t="shared" si="20"/>
        <v>59706.277359952517</v>
      </c>
      <c r="M30" s="93">
        <f t="shared" si="20"/>
        <v>64210.978784337742</v>
      </c>
    </row>
    <row r="31" spans="2:13" x14ac:dyDescent="0.25">
      <c r="B31" s="70" t="s">
        <v>73</v>
      </c>
      <c r="C31" s="70"/>
      <c r="D31" s="69">
        <v>7432</v>
      </c>
      <c r="E31" s="69">
        <v>4180</v>
      </c>
      <c r="F31" s="69">
        <v>3721</v>
      </c>
      <c r="G31" s="69">
        <v>1085</v>
      </c>
      <c r="H31" s="77">
        <v>33142</v>
      </c>
      <c r="I31" s="93">
        <f>I46*I60</f>
        <v>14536.597504625797</v>
      </c>
      <c r="J31" s="93">
        <f t="shared" ref="J31:M31" si="21">J46*J60</f>
        <v>14481.544450141833</v>
      </c>
      <c r="K31" s="93">
        <f t="shared" si="21"/>
        <v>17741.87158066023</v>
      </c>
      <c r="L31" s="93">
        <f t="shared" si="21"/>
        <v>22350.789802634761</v>
      </c>
      <c r="M31" s="93">
        <f t="shared" si="21"/>
        <v>30057.135639291537</v>
      </c>
    </row>
    <row r="32" spans="2:13" ht="15.6" thickBot="1" x14ac:dyDescent="0.3">
      <c r="B32" s="73" t="s">
        <v>74</v>
      </c>
      <c r="C32" s="73"/>
      <c r="D32" s="74">
        <v>14197</v>
      </c>
      <c r="E32" s="74">
        <v>14561</v>
      </c>
      <c r="F32" s="74">
        <v>17994</v>
      </c>
      <c r="G32" s="74">
        <v>57</v>
      </c>
      <c r="H32" s="74">
        <v>169</v>
      </c>
      <c r="I32" s="99">
        <f>I46*I53</f>
        <v>184.80644017381974</v>
      </c>
      <c r="J32" s="100">
        <f>J46*J53</f>
        <v>199.21031505278333</v>
      </c>
      <c r="K32" s="100">
        <f>K46*K53</f>
        <v>228.65629622123055</v>
      </c>
      <c r="L32" s="100">
        <f>L46*L53</f>
        <v>258.56962028453978</v>
      </c>
      <c r="M32" s="100">
        <f>M46*M53</f>
        <v>293.81837398838206</v>
      </c>
    </row>
    <row r="33" spans="2:13" ht="15.6" x14ac:dyDescent="0.3">
      <c r="B33" s="71" t="s">
        <v>48</v>
      </c>
      <c r="C33" s="71"/>
      <c r="D33" s="72">
        <f>SUM(D27:D32)</f>
        <v>558728</v>
      </c>
      <c r="E33" s="72">
        <f t="shared" ref="E33:H33" si="22">SUM(E27:E32)</f>
        <v>815051</v>
      </c>
      <c r="F33" s="72">
        <f t="shared" si="22"/>
        <v>835191</v>
      </c>
      <c r="G33" s="72">
        <f t="shared" si="22"/>
        <v>1391832</v>
      </c>
      <c r="H33" s="78">
        <f t="shared" si="22"/>
        <v>1430171</v>
      </c>
      <c r="I33" s="115">
        <f>SUM(I27:I32)</f>
        <v>1434093.1838413025</v>
      </c>
      <c r="J33" s="115">
        <f t="shared" ref="J33:M33" si="23">SUM(J27:J32)</f>
        <v>1437000.4075154332</v>
      </c>
      <c r="K33" s="115">
        <f t="shared" si="23"/>
        <v>1455173.8010491668</v>
      </c>
      <c r="L33" s="115">
        <f t="shared" si="23"/>
        <v>1476604.9988823426</v>
      </c>
      <c r="M33" s="115">
        <f t="shared" si="23"/>
        <v>1497340.5900809933</v>
      </c>
    </row>
    <row r="34" spans="2:13" x14ac:dyDescent="0.25">
      <c r="B34" s="1"/>
      <c r="C34" s="1"/>
      <c r="H34" s="79"/>
    </row>
    <row r="35" spans="2:13" ht="15.6" x14ac:dyDescent="0.3">
      <c r="B35" s="71" t="s">
        <v>49</v>
      </c>
      <c r="C35" s="66"/>
      <c r="D35" s="67"/>
      <c r="E35" s="67"/>
      <c r="F35" s="67"/>
      <c r="G35" s="67"/>
      <c r="H35" s="80"/>
    </row>
    <row r="36" spans="2:13" x14ac:dyDescent="0.25">
      <c r="B36" s="70" t="s">
        <v>75</v>
      </c>
      <c r="C36" s="70"/>
      <c r="D36" s="69">
        <v>299</v>
      </c>
      <c r="E36" s="69">
        <v>300</v>
      </c>
      <c r="F36" s="69">
        <v>293</v>
      </c>
      <c r="G36" s="69">
        <v>287</v>
      </c>
      <c r="H36" s="77">
        <v>275</v>
      </c>
      <c r="I36" s="91">
        <f>H36-12</f>
        <v>263</v>
      </c>
      <c r="J36" s="91">
        <f>I36-12</f>
        <v>251</v>
      </c>
      <c r="K36" s="91">
        <f>J36-12</f>
        <v>239</v>
      </c>
      <c r="L36" s="91">
        <f>K36-12</f>
        <v>227</v>
      </c>
      <c r="M36" s="91">
        <f>L36-12</f>
        <v>215</v>
      </c>
    </row>
    <row r="37" spans="2:13" x14ac:dyDescent="0.25">
      <c r="B37" s="70" t="s">
        <v>76</v>
      </c>
      <c r="C37" s="70"/>
      <c r="D37" s="69">
        <v>463</v>
      </c>
      <c r="E37" s="69">
        <v>2797</v>
      </c>
      <c r="F37" s="69">
        <v>2676</v>
      </c>
      <c r="G37" s="69">
        <v>1568</v>
      </c>
      <c r="H37" s="77">
        <v>1529</v>
      </c>
      <c r="I37" s="123">
        <v>0</v>
      </c>
      <c r="J37" s="123">
        <v>0</v>
      </c>
      <c r="K37" s="123">
        <v>0</v>
      </c>
      <c r="L37" s="123">
        <v>0</v>
      </c>
      <c r="M37" s="123">
        <v>0</v>
      </c>
    </row>
    <row r="38" spans="2:13" x14ac:dyDescent="0.25">
      <c r="B38" s="70" t="s">
        <v>77</v>
      </c>
      <c r="C38" s="70"/>
      <c r="D38" s="69">
        <v>-310031</v>
      </c>
      <c r="E38" s="69">
        <v>-393321</v>
      </c>
      <c r="F38" s="69">
        <v>-459994</v>
      </c>
      <c r="G38" s="69">
        <v>-676940</v>
      </c>
      <c r="H38" s="77">
        <v>-744915</v>
      </c>
      <c r="I38" s="138">
        <f>I74</f>
        <v>-780622.70019923837</v>
      </c>
      <c r="J38" s="138">
        <f t="shared" ref="J38:M38" si="24">J74</f>
        <v>-801340.49459828995</v>
      </c>
      <c r="K38" s="138">
        <f t="shared" si="24"/>
        <v>-804134.34096257621</v>
      </c>
      <c r="L38" s="138">
        <f t="shared" si="24"/>
        <v>-778344.75240597106</v>
      </c>
      <c r="M38" s="138">
        <f t="shared" si="24"/>
        <v>-719687.61704468587</v>
      </c>
    </row>
    <row r="39" spans="2:13" ht="15.6" thickBot="1" x14ac:dyDescent="0.3">
      <c r="B39" s="73" t="s">
        <v>78</v>
      </c>
      <c r="C39" s="73"/>
      <c r="D39" s="74">
        <v>-256</v>
      </c>
      <c r="E39" s="74">
        <v>-637</v>
      </c>
      <c r="F39" s="74">
        <v>-341</v>
      </c>
      <c r="G39" s="74">
        <v>-501</v>
      </c>
      <c r="H39" s="74">
        <v>6349</v>
      </c>
      <c r="I39" s="132">
        <f>H39</f>
        <v>6349</v>
      </c>
      <c r="J39" s="133">
        <f t="shared" ref="J39:M39" si="25">I39</f>
        <v>6349</v>
      </c>
      <c r="K39" s="133">
        <f t="shared" si="25"/>
        <v>6349</v>
      </c>
      <c r="L39" s="133">
        <f t="shared" si="25"/>
        <v>6349</v>
      </c>
      <c r="M39" s="133">
        <f t="shared" si="25"/>
        <v>6349</v>
      </c>
    </row>
    <row r="40" spans="2:13" ht="15.6" x14ac:dyDescent="0.3">
      <c r="B40" s="71" t="s">
        <v>79</v>
      </c>
      <c r="C40" s="71"/>
      <c r="D40" s="72">
        <f>SUM(D36:D39)</f>
        <v>-309525</v>
      </c>
      <c r="E40" s="72">
        <v>-390861</v>
      </c>
      <c r="F40" s="72">
        <v>-457366</v>
      </c>
      <c r="G40" s="72">
        <v>-675586</v>
      </c>
      <c r="H40" s="78">
        <v>-736762</v>
      </c>
      <c r="I40" s="115">
        <f>SUM(I36:I39)</f>
        <v>-774010.70019923837</v>
      </c>
      <c r="J40" s="115">
        <f>SUM(J36:J39)</f>
        <v>-794740.49459828995</v>
      </c>
      <c r="K40" s="115">
        <f>SUM(K36:K39)</f>
        <v>-797546.34096257621</v>
      </c>
      <c r="L40" s="115">
        <f>SUM(L36:L39)</f>
        <v>-771768.75240597106</v>
      </c>
      <c r="M40" s="115">
        <f>SUM(M36:M39)</f>
        <v>-713123.61704468587</v>
      </c>
    </row>
    <row r="41" spans="2:13" ht="15.6" thickBot="1" x14ac:dyDescent="0.3">
      <c r="B41" s="17"/>
      <c r="C41" s="17"/>
      <c r="D41" s="82"/>
      <c r="E41" s="82"/>
      <c r="F41" s="82"/>
      <c r="G41" s="82"/>
      <c r="H41" s="83"/>
      <c r="I41" s="81"/>
      <c r="J41" s="82"/>
      <c r="K41" s="82"/>
      <c r="L41" s="82"/>
      <c r="M41" s="82"/>
    </row>
    <row r="42" spans="2:13" ht="16.2" thickBot="1" x14ac:dyDescent="0.35">
      <c r="B42" s="85" t="s">
        <v>50</v>
      </c>
      <c r="C42" s="85"/>
      <c r="D42" s="84">
        <f>D40+D33</f>
        <v>249203</v>
      </c>
      <c r="E42" s="84">
        <f t="shared" ref="E42:M42" si="26">E40+E33</f>
        <v>424190</v>
      </c>
      <c r="F42" s="84">
        <f t="shared" si="26"/>
        <v>377825</v>
      </c>
      <c r="G42" s="84">
        <f t="shared" si="26"/>
        <v>716246</v>
      </c>
      <c r="H42" s="84">
        <f t="shared" si="26"/>
        <v>693409</v>
      </c>
      <c r="I42" s="130">
        <f>I40+I33</f>
        <v>660082.48364206415</v>
      </c>
      <c r="J42" s="131">
        <f t="shared" si="26"/>
        <v>642259.9129171432</v>
      </c>
      <c r="K42" s="131">
        <f t="shared" si="26"/>
        <v>657627.46008659061</v>
      </c>
      <c r="L42" s="131">
        <f t="shared" si="26"/>
        <v>704836.24647637154</v>
      </c>
      <c r="M42" s="131">
        <f t="shared" si="26"/>
        <v>784216.97303630738</v>
      </c>
    </row>
    <row r="43" spans="2:13" ht="15.6" thickTop="1" x14ac:dyDescent="0.25">
      <c r="B43" s="86" t="s">
        <v>80</v>
      </c>
      <c r="D43" s="87" t="str">
        <f>IF(ABS(D18-D42) &lt; 0.1, "TRUE", "FALSE")</f>
        <v>TRUE</v>
      </c>
      <c r="E43" s="87" t="str">
        <f t="shared" ref="E43:M43" si="27">IF(ABS(E18-E42) &lt; 0.1, "TRUE", "FALSE")</f>
        <v>TRUE</v>
      </c>
      <c r="F43" s="87" t="str">
        <f t="shared" si="27"/>
        <v>TRUE</v>
      </c>
      <c r="G43" s="87" t="str">
        <f t="shared" si="27"/>
        <v>TRUE</v>
      </c>
      <c r="H43" s="95" t="str">
        <f t="shared" si="27"/>
        <v>TRUE</v>
      </c>
      <c r="I43" s="87" t="str">
        <f t="shared" si="27"/>
        <v>TRUE</v>
      </c>
      <c r="J43" s="87" t="str">
        <f t="shared" si="27"/>
        <v>TRUE</v>
      </c>
      <c r="K43" s="87" t="str">
        <f t="shared" si="27"/>
        <v>TRUE</v>
      </c>
      <c r="L43" s="87" t="str">
        <f t="shared" si="27"/>
        <v>TRUE</v>
      </c>
      <c r="M43" s="87" t="str">
        <f t="shared" si="27"/>
        <v>TRUE</v>
      </c>
    </row>
    <row r="44" spans="2:13" x14ac:dyDescent="0.25">
      <c r="H44" s="79"/>
    </row>
    <row r="45" spans="2:13" ht="16.2" thickBot="1" x14ac:dyDescent="0.35">
      <c r="B45" s="89" t="s">
        <v>81</v>
      </c>
      <c r="C45" s="90"/>
      <c r="D45" s="90"/>
      <c r="E45" s="90"/>
      <c r="F45" s="90"/>
      <c r="G45" s="90"/>
      <c r="H45" s="96"/>
      <c r="I45" s="90"/>
      <c r="J45" s="90"/>
      <c r="K45" s="90"/>
      <c r="L45" s="90"/>
      <c r="M45" s="90"/>
    </row>
    <row r="46" spans="2:13" x14ac:dyDescent="0.25">
      <c r="B46" s="63" t="s">
        <v>82</v>
      </c>
      <c r="D46" s="40">
        <f>'Income Statement'!D4</f>
        <v>282502</v>
      </c>
      <c r="E46" s="40">
        <f>'Income Statement'!E4</f>
        <v>357521</v>
      </c>
      <c r="F46" s="40">
        <f>'Income Statement'!F4</f>
        <v>460055</v>
      </c>
      <c r="G46" s="40">
        <f>'Income Statement'!G4</f>
        <v>625807</v>
      </c>
      <c r="H46" s="41">
        <f>'Income Statement'!H4</f>
        <v>696853</v>
      </c>
      <c r="I46" s="40">
        <f>'Income Statement'!I4</f>
        <v>762029.1257659574</v>
      </c>
      <c r="J46" s="40">
        <f>'Income Statement'!J4</f>
        <v>821421.92707382969</v>
      </c>
      <c r="K46" s="40">
        <f>'Income Statement'!K4</f>
        <v>942839.20704528503</v>
      </c>
      <c r="L46" s="40">
        <f>'Income Statement'!L4</f>
        <v>1066183.5242848664</v>
      </c>
      <c r="M46" s="40">
        <f>'Income Statement'!M4</f>
        <v>1211527.9015912781</v>
      </c>
    </row>
    <row r="47" spans="2:13" x14ac:dyDescent="0.25">
      <c r="B47" s="63" t="s">
        <v>83</v>
      </c>
      <c r="D47" s="30">
        <f>(D7/D46)*365</f>
        <v>9.0351395742331029</v>
      </c>
      <c r="E47" s="30">
        <f t="shared" ref="E47:H47" si="28">(E7/E46)*365</f>
        <v>9.6589151406490803</v>
      </c>
      <c r="F47" s="30">
        <f t="shared" si="28"/>
        <v>9.8443012248535489</v>
      </c>
      <c r="G47" s="30">
        <f t="shared" si="28"/>
        <v>11.467217528726909</v>
      </c>
      <c r="H47" s="31">
        <f t="shared" si="28"/>
        <v>10.906740732980987</v>
      </c>
      <c r="I47" s="53">
        <v>12</v>
      </c>
      <c r="J47" s="53">
        <v>12</v>
      </c>
      <c r="K47" s="53">
        <v>13</v>
      </c>
      <c r="L47" s="53">
        <v>13</v>
      </c>
      <c r="M47" s="53">
        <v>13</v>
      </c>
    </row>
    <row r="48" spans="2:13" x14ac:dyDescent="0.25">
      <c r="B48" s="63" t="s">
        <v>84</v>
      </c>
      <c r="D48" s="30">
        <f>(D22/'Income Statement'!D5)*365</f>
        <v>34.417409781245645</v>
      </c>
      <c r="E48" s="30">
        <f>(E22/'Income Statement'!E5)*365</f>
        <v>30.048663143781056</v>
      </c>
      <c r="F48" s="30">
        <f>(F22/'Income Statement'!F5)*365</f>
        <v>24.412210174673724</v>
      </c>
      <c r="G48" s="30">
        <f>(G22/'Income Statement'!G5)*365</f>
        <v>27.656222716954773</v>
      </c>
      <c r="H48" s="31">
        <f>(H22/'Income Statement'!H5)*365</f>
        <v>48.812071873243248</v>
      </c>
      <c r="I48" s="53">
        <v>35</v>
      </c>
      <c r="J48" s="53">
        <v>35</v>
      </c>
      <c r="K48" s="53">
        <v>35</v>
      </c>
      <c r="L48" s="53">
        <v>35</v>
      </c>
      <c r="M48" s="53">
        <v>35</v>
      </c>
    </row>
    <row r="49" spans="2:13" x14ac:dyDescent="0.25">
      <c r="B49" s="68" t="s">
        <v>52</v>
      </c>
      <c r="D49" s="94">
        <f>D6/D46</f>
        <v>1.220522332585256E-2</v>
      </c>
      <c r="E49" s="94">
        <f t="shared" ref="E49:H49" si="29">E6/E46</f>
        <v>3.7189423838040282E-2</v>
      </c>
      <c r="F49" s="94">
        <f t="shared" si="29"/>
        <v>2.4875286650509178E-2</v>
      </c>
      <c r="G49" s="94">
        <f t="shared" si="29"/>
        <v>3.334574397537899E-2</v>
      </c>
      <c r="H49" s="97">
        <f t="shared" si="29"/>
        <v>3.7301984780147318E-2</v>
      </c>
      <c r="I49" s="94">
        <f>AVERAGE(D49:H49)</f>
        <v>2.8983532513985666E-2</v>
      </c>
      <c r="J49" s="94">
        <f t="shared" ref="J49:M50" si="30">AVERAGE(E49:I49)</f>
        <v>3.233919435161229E-2</v>
      </c>
      <c r="K49" s="94">
        <f t="shared" si="30"/>
        <v>3.1369148454326687E-2</v>
      </c>
      <c r="L49" s="94">
        <f t="shared" si="30"/>
        <v>3.2667920815090193E-2</v>
      </c>
      <c r="M49" s="94">
        <f t="shared" si="30"/>
        <v>3.2532356183032428E-2</v>
      </c>
    </row>
    <row r="50" spans="2:13" x14ac:dyDescent="0.25">
      <c r="B50" s="68" t="s">
        <v>54</v>
      </c>
      <c r="D50" s="94">
        <f>D8/D46</f>
        <v>1.7444124289385562E-2</v>
      </c>
      <c r="E50" s="94">
        <f t="shared" ref="E50:H50" si="31">E8/E46</f>
        <v>1.1893007683464747E-2</v>
      </c>
      <c r="F50" s="94">
        <f t="shared" si="31"/>
        <v>1.0755235787025464E-2</v>
      </c>
      <c r="G50" s="94">
        <f t="shared" si="31"/>
        <v>1.0418547571375839E-2</v>
      </c>
      <c r="H50" s="97">
        <f t="shared" si="31"/>
        <v>1.1417042044735403E-2</v>
      </c>
      <c r="I50" s="94">
        <f>AVERAGE(D50:H50)</f>
        <v>1.2385591475197404E-2</v>
      </c>
      <c r="J50" s="94">
        <f t="shared" si="30"/>
        <v>1.1373884912359772E-2</v>
      </c>
      <c r="K50" s="94">
        <f t="shared" si="30"/>
        <v>1.1270060358138777E-2</v>
      </c>
      <c r="L50" s="94">
        <f t="shared" si="30"/>
        <v>1.1373025272361439E-2</v>
      </c>
      <c r="M50" s="94">
        <f t="shared" si="30"/>
        <v>1.156392081255856E-2</v>
      </c>
    </row>
    <row r="51" spans="2:13" x14ac:dyDescent="0.25">
      <c r="B51" s="68" t="s">
        <v>85</v>
      </c>
      <c r="D51" s="94">
        <f>D9/D46</f>
        <v>2.1936127885820278E-2</v>
      </c>
      <c r="E51" s="94">
        <f t="shared" ref="E51:H51" si="32">E9/E46</f>
        <v>4.2422682863384249E-2</v>
      </c>
      <c r="F51" s="94">
        <f t="shared" si="32"/>
        <v>5.5054286987425413E-2</v>
      </c>
      <c r="G51" s="94">
        <f t="shared" si="32"/>
        <v>5.2187016124779682E-2</v>
      </c>
      <c r="H51" s="97">
        <f t="shared" si="32"/>
        <v>2.316557437508341E-2</v>
      </c>
      <c r="I51" s="34">
        <f>AVERAGE(D51:H51)</f>
        <v>3.8953137647298602E-2</v>
      </c>
      <c r="J51" s="118">
        <v>3.5000000000000003E-2</v>
      </c>
      <c r="K51" s="118">
        <v>0.03</v>
      </c>
      <c r="L51" s="118">
        <v>0.03</v>
      </c>
      <c r="M51" s="118">
        <v>2.5000000000000001E-2</v>
      </c>
    </row>
    <row r="52" spans="2:13" ht="15.6" customHeight="1" x14ac:dyDescent="0.25">
      <c r="B52" s="70" t="s">
        <v>63</v>
      </c>
      <c r="D52" s="94">
        <f>D17/D46</f>
        <v>8.7333894981274474E-2</v>
      </c>
      <c r="E52" s="94">
        <f>E17/E46</f>
        <v>7.3948103747751875E-2</v>
      </c>
      <c r="F52" s="94">
        <f>F17/F46</f>
        <v>7.3993326884828986E-2</v>
      </c>
      <c r="G52" s="94">
        <f>G17/G46</f>
        <v>4.7458721299058655E-2</v>
      </c>
      <c r="H52" s="97">
        <f>H17/H46</f>
        <v>6.1654323078181479E-2</v>
      </c>
      <c r="I52" s="94">
        <f>H52</f>
        <v>6.1654323078181479E-2</v>
      </c>
      <c r="J52" s="94">
        <f t="shared" ref="J52" si="33">I52</f>
        <v>6.1654323078181479E-2</v>
      </c>
      <c r="K52" s="94">
        <v>0.05</v>
      </c>
      <c r="L52" s="94">
        <v>0.03</v>
      </c>
      <c r="M52" s="94">
        <v>0.03</v>
      </c>
    </row>
    <row r="53" spans="2:13" x14ac:dyDescent="0.25">
      <c r="B53" s="70" t="s">
        <v>74</v>
      </c>
      <c r="D53" s="94">
        <f>D32/D46</f>
        <v>5.025451147248515E-2</v>
      </c>
      <c r="E53" s="94">
        <f>E32/E46</f>
        <v>4.0727677535025916E-2</v>
      </c>
      <c r="F53" s="94">
        <f>F32/F46</f>
        <v>3.9112714784101901E-2</v>
      </c>
      <c r="G53" s="94">
        <f>G32/G46</f>
        <v>9.1082394412334789E-5</v>
      </c>
      <c r="H53" s="97">
        <f>H32/H46</f>
        <v>2.4251886696333372E-4</v>
      </c>
      <c r="I53" s="98">
        <f>H53</f>
        <v>2.4251886696333372E-4</v>
      </c>
      <c r="J53" s="98">
        <f t="shared" ref="J53:M54" si="34">I53</f>
        <v>2.4251886696333372E-4</v>
      </c>
      <c r="K53" s="98">
        <f t="shared" si="34"/>
        <v>2.4251886696333372E-4</v>
      </c>
      <c r="L53" s="98">
        <f t="shared" si="34"/>
        <v>2.4251886696333372E-4</v>
      </c>
      <c r="M53" s="98">
        <f t="shared" si="34"/>
        <v>2.4251886696333372E-4</v>
      </c>
    </row>
    <row r="54" spans="2:13" x14ac:dyDescent="0.25">
      <c r="B54" s="63" t="s">
        <v>267</v>
      </c>
      <c r="D54" s="94">
        <f>'Cash Flow Statment (As Stated)'!C22*-1/'Balance Sheet'!D46</f>
        <v>9.9114342553327059E-2</v>
      </c>
      <c r="E54" s="94">
        <f>'Cash Flow Statment (As Stated)'!D22*-1/'Balance Sheet'!E46</f>
        <v>6.6849220045815491E-2</v>
      </c>
      <c r="F54" s="94">
        <f>'Cash Flow Statment (As Stated)'!E22*-1/'Balance Sheet'!F46</f>
        <v>8.8685048526806573E-2</v>
      </c>
      <c r="G54" s="94">
        <f>'Cash Flow Statment (As Stated)'!F22*-1/'Balance Sheet'!G46</f>
        <v>8.2932917017546945E-2</v>
      </c>
      <c r="H54" s="94">
        <f>'Cash Flow Statment (As Stated)'!G22*-1/'Balance Sheet'!H46</f>
        <v>6.8020084580248635E-2</v>
      </c>
      <c r="I54" s="98">
        <f>H54</f>
        <v>6.8020084580248635E-2</v>
      </c>
      <c r="J54" s="118">
        <f t="shared" si="34"/>
        <v>6.8020084580248635E-2</v>
      </c>
      <c r="K54" s="118">
        <v>6.5000000000000002E-2</v>
      </c>
      <c r="L54" s="118">
        <f t="shared" si="34"/>
        <v>6.5000000000000002E-2</v>
      </c>
      <c r="M54" s="118">
        <v>6.2E-2</v>
      </c>
    </row>
    <row r="55" spans="2:13" x14ac:dyDescent="0.25">
      <c r="B55" s="63" t="s">
        <v>66</v>
      </c>
      <c r="D55" s="94">
        <f>D24/D46</f>
        <v>9.9362128409710371E-2</v>
      </c>
      <c r="E55" s="94">
        <f>E24/E46</f>
        <v>9.7129958799622954E-2</v>
      </c>
      <c r="F55" s="94">
        <f>F24/F46</f>
        <v>8.9013270152481769E-2</v>
      </c>
      <c r="G55" s="94">
        <f>G24/G46</f>
        <v>7.4754676761365726E-2</v>
      </c>
      <c r="H55" s="97">
        <f>H24/H46</f>
        <v>7.1383778214343621E-2</v>
      </c>
      <c r="I55" s="118">
        <v>7.0000000000000007E-2</v>
      </c>
      <c r="J55" s="118">
        <v>6.8000000000000005E-2</v>
      </c>
      <c r="K55" s="118">
        <v>6.6000000000000003E-2</v>
      </c>
      <c r="L55" s="118">
        <v>6.4000000000000001E-2</v>
      </c>
      <c r="M55" s="118">
        <v>6.2E-2</v>
      </c>
    </row>
    <row r="56" spans="2:13" x14ac:dyDescent="0.25">
      <c r="B56" s="70" t="s">
        <v>65</v>
      </c>
      <c r="D56" s="94">
        <f>D23/D46</f>
        <v>0</v>
      </c>
      <c r="E56" s="94">
        <f t="shared" ref="E56:H56" si="35">E23/E46</f>
        <v>0</v>
      </c>
      <c r="F56" s="94">
        <f t="shared" si="35"/>
        <v>0</v>
      </c>
      <c r="G56" s="94">
        <f t="shared" si="35"/>
        <v>1.6922150119765358E-3</v>
      </c>
      <c r="H56" s="97">
        <f t="shared" si="35"/>
        <v>4.637993952813578E-3</v>
      </c>
      <c r="I56" s="118">
        <v>4.0000000000000001E-3</v>
      </c>
      <c r="J56" s="118">
        <v>3.0000000000000001E-3</v>
      </c>
      <c r="K56" s="118">
        <v>2.5000000000000001E-3</v>
      </c>
      <c r="L56" s="118">
        <v>2E-3</v>
      </c>
      <c r="M56" s="118">
        <v>1.5E-3</v>
      </c>
    </row>
    <row r="57" spans="2:13" x14ac:dyDescent="0.25">
      <c r="B57" s="70" t="s">
        <v>71</v>
      </c>
      <c r="D57" s="94">
        <f>D29/D46</f>
        <v>0</v>
      </c>
      <c r="E57" s="94">
        <f t="shared" ref="E57:H57" si="36">E29/E46</f>
        <v>0</v>
      </c>
      <c r="F57" s="94">
        <f t="shared" si="36"/>
        <v>0</v>
      </c>
      <c r="G57" s="94">
        <f t="shared" si="36"/>
        <v>9.2950382466159692E-2</v>
      </c>
      <c r="H57" s="97">
        <f t="shared" si="36"/>
        <v>8.3346128954026169E-2</v>
      </c>
      <c r="I57" s="118">
        <v>7.0000000000000007E-2</v>
      </c>
      <c r="J57" s="118">
        <v>6.5000000000000002E-2</v>
      </c>
      <c r="K57" s="118">
        <v>0.06</v>
      </c>
      <c r="L57" s="118">
        <v>5.5E-2</v>
      </c>
      <c r="M57" s="118">
        <v>0.05</v>
      </c>
    </row>
    <row r="58" spans="2:13" x14ac:dyDescent="0.25">
      <c r="B58" s="70" t="s">
        <v>58</v>
      </c>
      <c r="D58" s="94">
        <f>D12/D46</f>
        <v>0</v>
      </c>
      <c r="E58" s="94">
        <f t="shared" ref="E58:H58" si="37">E12/E46</f>
        <v>0</v>
      </c>
      <c r="F58" s="94">
        <f t="shared" si="37"/>
        <v>0</v>
      </c>
      <c r="G58" s="94">
        <f t="shared" si="37"/>
        <v>7.8372405549953894E-2</v>
      </c>
      <c r="H58" s="97">
        <f t="shared" si="37"/>
        <v>6.9795207884589719E-2</v>
      </c>
      <c r="I58" s="118">
        <v>0.06</v>
      </c>
      <c r="J58" s="118">
        <v>5.5E-2</v>
      </c>
      <c r="K58" s="118">
        <v>0.05</v>
      </c>
      <c r="L58" s="118">
        <v>4.4999999999999998E-2</v>
      </c>
      <c r="M58" s="118">
        <v>0.04</v>
      </c>
    </row>
    <row r="59" spans="2:13" x14ac:dyDescent="0.25">
      <c r="B59" s="70" t="s">
        <v>72</v>
      </c>
      <c r="D59" s="94">
        <f>D30/D46</f>
        <v>9.9199297704087044E-2</v>
      </c>
      <c r="E59" s="94">
        <f t="shared" ref="E59:H59" si="38">E30/E46</f>
        <v>7.5665485384075346E-2</v>
      </c>
      <c r="F59" s="94">
        <f t="shared" si="38"/>
        <v>6.5524774211779033E-2</v>
      </c>
      <c r="G59" s="94">
        <f t="shared" si="38"/>
        <v>6.2122986799444557E-2</v>
      </c>
      <c r="H59" s="97">
        <f t="shared" si="38"/>
        <v>6.8480726925190818E-2</v>
      </c>
      <c r="I59" s="118">
        <v>6.5000000000000002E-2</v>
      </c>
      <c r="J59" s="118">
        <v>6.2E-2</v>
      </c>
      <c r="K59" s="118">
        <v>5.8999999999999997E-2</v>
      </c>
      <c r="L59" s="118">
        <v>5.6000000000000001E-2</v>
      </c>
      <c r="M59" s="118">
        <v>5.2999999999999999E-2</v>
      </c>
    </row>
    <row r="60" spans="2:13" x14ac:dyDescent="0.25">
      <c r="B60" s="70" t="s">
        <v>73</v>
      </c>
      <c r="D60" s="94">
        <f>D31/D46</f>
        <v>2.6307778352011667E-2</v>
      </c>
      <c r="E60" s="94">
        <f t="shared" ref="E60:H60" si="39">E31/E46</f>
        <v>1.1691620911778609E-2</v>
      </c>
      <c r="F60" s="94">
        <f t="shared" si="39"/>
        <v>8.0881633717707659E-3</v>
      </c>
      <c r="G60" s="94">
        <f t="shared" si="39"/>
        <v>1.7337613673225132E-3</v>
      </c>
      <c r="H60" s="97">
        <f t="shared" si="39"/>
        <v>4.7559528336679327E-2</v>
      </c>
      <c r="I60" s="34">
        <f>AVERAGE(D60:H60)</f>
        <v>1.907617046791258E-2</v>
      </c>
      <c r="J60" s="34">
        <f t="shared" ref="J60:M60" si="40">AVERAGE(E60:I60)</f>
        <v>1.7629848891092759E-2</v>
      </c>
      <c r="K60" s="34">
        <f t="shared" si="40"/>
        <v>1.8817494486955588E-2</v>
      </c>
      <c r="L60" s="34">
        <f t="shared" si="40"/>
        <v>2.0963360709992555E-2</v>
      </c>
      <c r="M60" s="34">
        <f t="shared" si="40"/>
        <v>2.4809280578526563E-2</v>
      </c>
    </row>
    <row r="61" spans="2:13" x14ac:dyDescent="0.25">
      <c r="H61" s="79"/>
    </row>
    <row r="62" spans="2:13" ht="15.6" x14ac:dyDescent="0.3">
      <c r="B62" s="11" t="s">
        <v>122</v>
      </c>
      <c r="C62" s="10"/>
      <c r="D62" s="13">
        <f t="shared" ref="D62:M62" si="41">D3</f>
        <v>2021</v>
      </c>
      <c r="E62" s="13">
        <f t="shared" si="41"/>
        <v>2022</v>
      </c>
      <c r="F62" s="13">
        <f t="shared" si="41"/>
        <v>2023</v>
      </c>
      <c r="G62" s="13">
        <f t="shared" si="41"/>
        <v>2024</v>
      </c>
      <c r="H62" s="21">
        <f t="shared" si="41"/>
        <v>2025</v>
      </c>
      <c r="I62" s="14">
        <f t="shared" si="41"/>
        <v>2026</v>
      </c>
      <c r="J62" s="14">
        <f t="shared" si="41"/>
        <v>2027</v>
      </c>
      <c r="K62" s="14">
        <f t="shared" si="41"/>
        <v>2028</v>
      </c>
      <c r="L62" s="14">
        <f t="shared" si="41"/>
        <v>2029</v>
      </c>
      <c r="M62" s="14">
        <f t="shared" si="41"/>
        <v>2030</v>
      </c>
    </row>
    <row r="63" spans="2:13" x14ac:dyDescent="0.25">
      <c r="B63" s="63" t="s">
        <v>123</v>
      </c>
      <c r="D63" s="117" t="s">
        <v>127</v>
      </c>
      <c r="E63" s="62">
        <f>D67</f>
        <v>54503</v>
      </c>
      <c r="F63" s="62">
        <f t="shared" ref="F63:H63" si="42">E67</f>
        <v>66851</v>
      </c>
      <c r="G63" s="62">
        <f t="shared" si="42"/>
        <v>91292</v>
      </c>
      <c r="H63" s="113">
        <f t="shared" si="42"/>
        <v>125953</v>
      </c>
      <c r="I63" s="93">
        <f>H67</f>
        <v>130581</v>
      </c>
      <c r="J63" s="93">
        <f t="shared" ref="J63:M63" si="43">I67</f>
        <v>148633.46608862633</v>
      </c>
      <c r="K63" s="93">
        <f t="shared" si="43"/>
        <v>174826.82481378663</v>
      </c>
      <c r="L63" s="93">
        <f t="shared" si="43"/>
        <v>202486.96049841677</v>
      </c>
      <c r="M63" s="93">
        <f t="shared" si="43"/>
        <v>233604.54853849922</v>
      </c>
    </row>
    <row r="64" spans="2:13" x14ac:dyDescent="0.25">
      <c r="B64" s="63" t="s">
        <v>124</v>
      </c>
      <c r="D64" s="62">
        <f>'Cash Flow Statment (As Stated)'!C22*-1</f>
        <v>28000</v>
      </c>
      <c r="E64" s="62">
        <f>'Cash Flow Statment (As Stated)'!D22*-1</f>
        <v>23900</v>
      </c>
      <c r="F64" s="62">
        <f>'Cash Flow Statment (As Stated)'!E22*-1</f>
        <v>40800</v>
      </c>
      <c r="G64" s="62">
        <f>'Cash Flow Statment (As Stated)'!F22*-1</f>
        <v>51900</v>
      </c>
      <c r="H64" s="113">
        <f>'Cash Flow Statment (As Stated)'!G22*-1</f>
        <v>47400</v>
      </c>
      <c r="I64" s="93">
        <f>I54*I46</f>
        <v>51833.285587213344</v>
      </c>
      <c r="J64" s="93">
        <f t="shared" ref="J64:M64" si="44">J54*J46</f>
        <v>55873.188955632722</v>
      </c>
      <c r="K64" s="93">
        <f t="shared" si="44"/>
        <v>61284.548457943529</v>
      </c>
      <c r="L64" s="93">
        <f t="shared" si="44"/>
        <v>69301.929078516318</v>
      </c>
      <c r="M64" s="93">
        <f t="shared" si="44"/>
        <v>75114.72989865925</v>
      </c>
    </row>
    <row r="65" spans="2:13" x14ac:dyDescent="0.25">
      <c r="B65" s="63" t="s">
        <v>125</v>
      </c>
      <c r="D65" s="62">
        <f>'Cash Flow Statment (As Stated)'!C6</f>
        <v>5643</v>
      </c>
      <c r="E65" s="62">
        <f>'Cash Flow Statment (As Stated)'!D6</f>
        <v>8699</v>
      </c>
      <c r="F65" s="62">
        <f>'Cash Flow Statment (As Stated)'!E6</f>
        <v>10539</v>
      </c>
      <c r="G65" s="62">
        <f>'Cash Flow Statment (As Stated)'!F6</f>
        <v>16190.000000000002</v>
      </c>
      <c r="H65" s="113">
        <f>'Cash Flow Statment (As Stated)'!G6</f>
        <v>20768</v>
      </c>
      <c r="I65" s="93">
        <f>0.83*'Income Statement'!I11</f>
        <v>27196.819498587014</v>
      </c>
      <c r="J65" s="93">
        <f>0.83*'Income Statement'!J11</f>
        <v>23095.830230472402</v>
      </c>
      <c r="K65" s="93">
        <f>0.83*'Income Statement'!K11</f>
        <v>27040.41277331339</v>
      </c>
      <c r="L65" s="93">
        <f>0.83*'Income Statement'!L11</f>
        <v>31600.341038433886</v>
      </c>
      <c r="M65" s="93">
        <f>0.83*'Income Statement'!M11</f>
        <v>36826.358941831808</v>
      </c>
    </row>
    <row r="66" spans="2:13" ht="15.6" thickBot="1" x14ac:dyDescent="0.3">
      <c r="B66" s="82" t="s">
        <v>126</v>
      </c>
      <c r="C66" s="82"/>
      <c r="D66" s="112">
        <f>'Cash Flow Statment (As Stated)'!C23</f>
        <v>7207</v>
      </c>
      <c r="E66" s="112">
        <f>'Cash Flow Statment (As Stated)'!D23</f>
        <v>4062.9999999999995</v>
      </c>
      <c r="F66" s="112">
        <f>'Cash Flow Statment (As Stated)'!E23</f>
        <v>320</v>
      </c>
      <c r="G66" s="112">
        <f>'Cash Flow Statment (As Stated)'!F23</f>
        <v>4000</v>
      </c>
      <c r="H66" s="114">
        <f>'Cash Flow Statment (As Stated)'!G23</f>
        <v>17330</v>
      </c>
      <c r="I66" s="100">
        <f>AVERAGE('Cash Flow Statment (As Stated)'!C23:G23)</f>
        <v>6584</v>
      </c>
      <c r="J66" s="112">
        <f>I66</f>
        <v>6584</v>
      </c>
      <c r="K66" s="112">
        <f t="shared" ref="K66:M66" si="45">J66</f>
        <v>6584</v>
      </c>
      <c r="L66" s="112">
        <f t="shared" si="45"/>
        <v>6584</v>
      </c>
      <c r="M66" s="112">
        <f t="shared" si="45"/>
        <v>6584</v>
      </c>
    </row>
    <row r="67" spans="2:13" ht="15.6" x14ac:dyDescent="0.3">
      <c r="B67" s="88" t="s">
        <v>128</v>
      </c>
      <c r="D67" s="115">
        <f>D11</f>
        <v>54503</v>
      </c>
      <c r="E67" s="115">
        <f>E11</f>
        <v>66851</v>
      </c>
      <c r="F67" s="115">
        <f>F11</f>
        <v>91292</v>
      </c>
      <c r="G67" s="115">
        <f>G11</f>
        <v>125953</v>
      </c>
      <c r="H67" s="134">
        <f>H11</f>
        <v>130581</v>
      </c>
      <c r="I67" s="115">
        <f>I63+I64-I65-I66</f>
        <v>148633.46608862633</v>
      </c>
      <c r="J67" s="115">
        <f t="shared" ref="J67:M67" si="46">J63+J64-J65-J66</f>
        <v>174826.82481378663</v>
      </c>
      <c r="K67" s="115">
        <f t="shared" si="46"/>
        <v>202486.96049841677</v>
      </c>
      <c r="L67" s="115">
        <f t="shared" si="46"/>
        <v>233604.54853849922</v>
      </c>
      <c r="M67" s="115">
        <f t="shared" si="46"/>
        <v>265308.91949532664</v>
      </c>
    </row>
    <row r="68" spans="2:13" x14ac:dyDescent="0.25">
      <c r="E68" s="91"/>
      <c r="F68" s="91"/>
      <c r="G68" s="91"/>
      <c r="H68" s="135"/>
    </row>
    <row r="69" spans="2:13" ht="15.6" x14ac:dyDescent="0.3">
      <c r="B69" s="11" t="s">
        <v>144</v>
      </c>
      <c r="C69" s="10"/>
      <c r="D69" s="13">
        <f>D62</f>
        <v>2021</v>
      </c>
      <c r="E69" s="13">
        <f>E62</f>
        <v>2022</v>
      </c>
      <c r="F69" s="13">
        <f>F62</f>
        <v>2023</v>
      </c>
      <c r="G69" s="13">
        <f>G62</f>
        <v>2024</v>
      </c>
      <c r="H69" s="21">
        <f>H62</f>
        <v>2025</v>
      </c>
      <c r="I69" s="14">
        <f t="shared" ref="I69:M69" si="47">I62</f>
        <v>2026</v>
      </c>
      <c r="J69" s="14">
        <f t="shared" si="47"/>
        <v>2027</v>
      </c>
      <c r="K69" s="14">
        <f t="shared" si="47"/>
        <v>2028</v>
      </c>
      <c r="L69" s="14">
        <f t="shared" si="47"/>
        <v>2029</v>
      </c>
      <c r="M69" s="14">
        <f t="shared" si="47"/>
        <v>2030</v>
      </c>
    </row>
    <row r="70" spans="2:13" x14ac:dyDescent="0.25">
      <c r="B70" s="63" t="s">
        <v>145</v>
      </c>
      <c r="D70" s="136" t="s">
        <v>127</v>
      </c>
      <c r="E70" s="91">
        <f>D74</f>
        <v>-310031</v>
      </c>
      <c r="F70" s="91">
        <f>E74</f>
        <v>-393321</v>
      </c>
      <c r="G70" s="91">
        <f>F74</f>
        <v>-459994</v>
      </c>
      <c r="H70" s="135">
        <f>G74</f>
        <v>-676940</v>
      </c>
      <c r="I70" s="91">
        <f>H74</f>
        <v>-744915</v>
      </c>
      <c r="J70" s="91">
        <f t="shared" ref="J70:M70" si="48">I74</f>
        <v>-780622.70019923837</v>
      </c>
      <c r="K70" s="91">
        <f t="shared" si="48"/>
        <v>-801340.49459828995</v>
      </c>
      <c r="L70" s="91">
        <f t="shared" si="48"/>
        <v>-804134.34096257621</v>
      </c>
      <c r="M70" s="91">
        <f t="shared" si="48"/>
        <v>-778344.75240597106</v>
      </c>
    </row>
    <row r="71" spans="2:13" x14ac:dyDescent="0.25">
      <c r="B71" s="63" t="s">
        <v>146</v>
      </c>
      <c r="D71" s="138">
        <f>'Income Statement'!D20</f>
        <v>42658</v>
      </c>
      <c r="E71" s="138">
        <f>'Income Statement'!E20</f>
        <v>52947</v>
      </c>
      <c r="F71" s="138">
        <f>'Income Statement'!F20</f>
        <v>70175</v>
      </c>
      <c r="G71" s="138">
        <f>'Income Statement'!G20</f>
        <v>108717</v>
      </c>
      <c r="H71" s="139">
        <f>'Income Statement'!H20</f>
        <v>174267</v>
      </c>
      <c r="I71" s="138">
        <f>'Income Statement'!I20</f>
        <v>133449.0998007617</v>
      </c>
      <c r="J71" s="138">
        <f>'Income Statement'!J20</f>
        <v>146855.00560094841</v>
      </c>
      <c r="K71" s="138">
        <f>'Income Statement'!K20</f>
        <v>163194.95363571381</v>
      </c>
      <c r="L71" s="138">
        <f>'Income Statement'!L20</f>
        <v>190194.3885566052</v>
      </c>
      <c r="M71" s="138">
        <f>'Income Statement'!M20</f>
        <v>221477.93536128523</v>
      </c>
    </row>
    <row r="72" spans="2:13" x14ac:dyDescent="0.25">
      <c r="B72" s="63" t="s">
        <v>147</v>
      </c>
      <c r="D72" s="138">
        <f>'Cash Flow Statment (As Stated)'!C41*-1</f>
        <v>19800</v>
      </c>
      <c r="E72" s="138">
        <f>'Cash Flow Statment (As Stated)'!D41*-1+119500</f>
        <v>141300</v>
      </c>
      <c r="F72" s="138">
        <f>'Cash Flow Statment (As Stated)'!E41*-1</f>
        <v>24900</v>
      </c>
      <c r="G72" s="138">
        <f>'Cash Flow Statment (As Stated)'!F41*-1</f>
        <v>28900</v>
      </c>
      <c r="H72" s="139">
        <f>'Cash Flow Statment (As Stated)'!G41*-1</f>
        <v>32400</v>
      </c>
      <c r="I72" s="138">
        <f>I78</f>
        <v>35956.800000000003</v>
      </c>
      <c r="J72" s="138">
        <f t="shared" ref="J72:M72" si="49">J78</f>
        <v>34372.800000000003</v>
      </c>
      <c r="K72" s="138">
        <f t="shared" si="49"/>
        <v>32788.800000000003</v>
      </c>
      <c r="L72" s="138">
        <f t="shared" si="49"/>
        <v>31204.800000000003</v>
      </c>
      <c r="M72" s="138">
        <f t="shared" si="49"/>
        <v>29620.800000000003</v>
      </c>
    </row>
    <row r="73" spans="2:13" ht="15.6" thickBot="1" x14ac:dyDescent="0.3">
      <c r="B73" s="82" t="s">
        <v>148</v>
      </c>
      <c r="C73" s="82"/>
      <c r="D73" s="141">
        <f>'Cash Flow Statment (As Stated)'!C39*-1</f>
        <v>1900</v>
      </c>
      <c r="E73" s="141">
        <f>'Cash Flow Statment (As Stated)'!D39*-1</f>
        <v>300</v>
      </c>
      <c r="F73" s="141">
        <f>'Cash Flow Statment (As Stated)'!E39*-1</f>
        <v>127900</v>
      </c>
      <c r="G73" s="141">
        <f>'Cash Flow Statment (As Stated)'!F39*-1</f>
        <v>319100</v>
      </c>
      <c r="H73" s="142">
        <f>'Cash Flow Statment (As Stated)'!G39*-1</f>
        <v>235700</v>
      </c>
      <c r="I73" s="100">
        <f>1200*111</f>
        <v>133200</v>
      </c>
      <c r="J73" s="100">
        <f t="shared" ref="J73:M73" si="50">1200*111</f>
        <v>133200</v>
      </c>
      <c r="K73" s="100">
        <f t="shared" si="50"/>
        <v>133200</v>
      </c>
      <c r="L73" s="100">
        <f t="shared" si="50"/>
        <v>133200</v>
      </c>
      <c r="M73" s="100">
        <f t="shared" si="50"/>
        <v>133200</v>
      </c>
    </row>
    <row r="74" spans="2:13" ht="18" customHeight="1" x14ac:dyDescent="0.3">
      <c r="B74" s="88" t="s">
        <v>149</v>
      </c>
      <c r="D74" s="144">
        <f>D38</f>
        <v>-310031</v>
      </c>
      <c r="E74" s="144">
        <f>E38</f>
        <v>-393321</v>
      </c>
      <c r="F74" s="144">
        <f>F38</f>
        <v>-459994</v>
      </c>
      <c r="G74" s="144">
        <f>G38</f>
        <v>-676940</v>
      </c>
      <c r="H74" s="145">
        <f>H38</f>
        <v>-744915</v>
      </c>
      <c r="I74" s="115">
        <f>I70+I71-I72-I73</f>
        <v>-780622.70019923837</v>
      </c>
      <c r="J74" s="115">
        <f t="shared" ref="J74:M74" si="51">J70+J71-J72-J73</f>
        <v>-801340.49459828995</v>
      </c>
      <c r="K74" s="115">
        <f t="shared" si="51"/>
        <v>-804134.34096257621</v>
      </c>
      <c r="L74" s="115">
        <f t="shared" si="51"/>
        <v>-778344.75240597106</v>
      </c>
      <c r="M74" s="115">
        <f t="shared" si="51"/>
        <v>-719687.61704468587</v>
      </c>
    </row>
    <row r="75" spans="2:13" x14ac:dyDescent="0.25">
      <c r="E75" s="91"/>
      <c r="F75" s="91"/>
      <c r="G75" s="91"/>
      <c r="H75" s="135"/>
    </row>
    <row r="76" spans="2:13" x14ac:dyDescent="0.25">
      <c r="H76" s="79" t="s">
        <v>150</v>
      </c>
      <c r="I76" s="143">
        <v>1.32</v>
      </c>
      <c r="J76" s="143">
        <v>1.32</v>
      </c>
      <c r="K76" s="143">
        <v>1.32</v>
      </c>
      <c r="L76" s="143">
        <v>1.32</v>
      </c>
      <c r="M76" s="143">
        <v>1.32</v>
      </c>
    </row>
    <row r="77" spans="2:13" x14ac:dyDescent="0.25">
      <c r="H77" s="79" t="s">
        <v>151</v>
      </c>
      <c r="I77" s="53">
        <v>27240</v>
      </c>
      <c r="J77" s="30">
        <f>I77-1200</f>
        <v>26040</v>
      </c>
      <c r="K77" s="30">
        <f t="shared" ref="K77:M77" si="52">J77-1200</f>
        <v>24840</v>
      </c>
      <c r="L77" s="30">
        <f t="shared" si="52"/>
        <v>23640</v>
      </c>
      <c r="M77" s="30">
        <f t="shared" si="52"/>
        <v>22440</v>
      </c>
    </row>
    <row r="78" spans="2:13" x14ac:dyDescent="0.25">
      <c r="H78" s="79" t="s">
        <v>152</v>
      </c>
      <c r="I78" s="93">
        <f>I76*I77</f>
        <v>35956.800000000003</v>
      </c>
      <c r="J78" s="93">
        <f t="shared" ref="J78:M78" si="53">J76*J77</f>
        <v>34372.800000000003</v>
      </c>
      <c r="K78" s="93">
        <f t="shared" si="53"/>
        <v>32788.800000000003</v>
      </c>
      <c r="L78" s="93">
        <f t="shared" si="53"/>
        <v>31204.800000000003</v>
      </c>
      <c r="M78" s="93">
        <f t="shared" si="53"/>
        <v>29620.800000000003</v>
      </c>
    </row>
    <row r="79" spans="2:13" x14ac:dyDescent="0.25">
      <c r="H79" s="79"/>
    </row>
    <row r="80" spans="2:13" ht="15.6" x14ac:dyDescent="0.3">
      <c r="B80" s="11" t="s">
        <v>271</v>
      </c>
      <c r="C80" s="10"/>
      <c r="D80" s="13">
        <v>2021</v>
      </c>
      <c r="E80" s="13">
        <f>D80+1</f>
        <v>2022</v>
      </c>
      <c r="F80" s="13">
        <f t="shared" ref="F80:M80" si="54">E80+1</f>
        <v>2023</v>
      </c>
      <c r="G80" s="13">
        <f t="shared" si="54"/>
        <v>2024</v>
      </c>
      <c r="H80" s="21">
        <f t="shared" si="54"/>
        <v>2025</v>
      </c>
      <c r="I80" s="13">
        <f t="shared" si="54"/>
        <v>2026</v>
      </c>
      <c r="J80" s="13">
        <f t="shared" si="54"/>
        <v>2027</v>
      </c>
      <c r="K80" s="13">
        <f t="shared" si="54"/>
        <v>2028</v>
      </c>
      <c r="L80" s="13">
        <f t="shared" si="54"/>
        <v>2029</v>
      </c>
      <c r="M80" s="13">
        <f t="shared" si="54"/>
        <v>2030</v>
      </c>
    </row>
    <row r="81" spans="2:13" x14ac:dyDescent="0.25">
      <c r="B81" s="63" t="s">
        <v>246</v>
      </c>
      <c r="D81" s="221">
        <f>D10-D5-D6-D9</f>
        <v>11921</v>
      </c>
      <c r="E81" s="221">
        <f t="shared" ref="E81:M81" si="55">E10-E5-E6-E9</f>
        <v>13713</v>
      </c>
      <c r="F81" s="221">
        <f t="shared" si="55"/>
        <v>17356</v>
      </c>
      <c r="G81" s="221">
        <f t="shared" si="55"/>
        <v>26181</v>
      </c>
      <c r="H81" s="222">
        <f t="shared" si="55"/>
        <v>28779</v>
      </c>
      <c r="I81" s="221">
        <f>I10-I5-I6-I9</f>
        <v>34491.193797888234</v>
      </c>
      <c r="J81" s="221">
        <f t="shared" si="55"/>
        <v>36348.410859974334</v>
      </c>
      <c r="K81" s="221">
        <f t="shared" si="55"/>
        <v>44206.429268923363</v>
      </c>
      <c r="L81" s="221">
        <f t="shared" si="55"/>
        <v>50099.391935717242</v>
      </c>
      <c r="M81" s="221">
        <f t="shared" si="55"/>
        <v>57160.321540005745</v>
      </c>
    </row>
    <row r="82" spans="2:13" x14ac:dyDescent="0.25">
      <c r="B82" s="63" t="s">
        <v>247</v>
      </c>
      <c r="D82" s="221">
        <f>D27-D26-D25-D23</f>
        <v>33484</v>
      </c>
      <c r="E82" s="221">
        <f t="shared" ref="E82:M82" si="56">E27-E26-E25-E23</f>
        <v>39945</v>
      </c>
      <c r="F82" s="221">
        <f t="shared" si="56"/>
        <v>45676</v>
      </c>
      <c r="G82" s="221">
        <f t="shared" si="56"/>
        <v>53725</v>
      </c>
      <c r="H82" s="222">
        <f t="shared" si="56"/>
        <v>62590</v>
      </c>
      <c r="I82" s="221">
        <f t="shared" si="56"/>
        <v>62841.305987822801</v>
      </c>
      <c r="J82" s="221">
        <f t="shared" si="56"/>
        <v>65860.034783056515</v>
      </c>
      <c r="K82" s="221">
        <f t="shared" si="56"/>
        <v>73438.133304924544</v>
      </c>
      <c r="L82" s="221">
        <f t="shared" si="56"/>
        <v>80606.395486687368</v>
      </c>
      <c r="M82" s="221">
        <f t="shared" si="56"/>
        <v>89171.772811642979</v>
      </c>
    </row>
    <row r="83" spans="2:13" ht="15.6" thickBot="1" x14ac:dyDescent="0.3">
      <c r="B83" s="82" t="s">
        <v>245</v>
      </c>
      <c r="C83" s="82"/>
      <c r="D83" s="220">
        <f>D81-D82</f>
        <v>-21563</v>
      </c>
      <c r="E83" s="220">
        <f t="shared" ref="E83:M83" si="57">E81-E82</f>
        <v>-26232</v>
      </c>
      <c r="F83" s="220">
        <f t="shared" si="57"/>
        <v>-28320</v>
      </c>
      <c r="G83" s="220">
        <f t="shared" si="57"/>
        <v>-27544</v>
      </c>
      <c r="H83" s="223">
        <f t="shared" si="57"/>
        <v>-33811</v>
      </c>
      <c r="I83" s="220">
        <f t="shared" si="57"/>
        <v>-28350.112189934567</v>
      </c>
      <c r="J83" s="220">
        <f t="shared" si="57"/>
        <v>-29511.623923082181</v>
      </c>
      <c r="K83" s="220">
        <f t="shared" si="57"/>
        <v>-29231.704036001182</v>
      </c>
      <c r="L83" s="220">
        <f t="shared" si="57"/>
        <v>-30507.003550970127</v>
      </c>
      <c r="M83" s="220">
        <f t="shared" si="57"/>
        <v>-32011.451271637234</v>
      </c>
    </row>
    <row r="84" spans="2:13" ht="15.6" x14ac:dyDescent="0.3">
      <c r="B84" s="88" t="s">
        <v>248</v>
      </c>
      <c r="D84" s="224" t="s">
        <v>16</v>
      </c>
      <c r="E84" s="144">
        <f>E83-D83</f>
        <v>-4669</v>
      </c>
      <c r="F84" s="144">
        <f t="shared" ref="F84:M84" si="58">F83-E83</f>
        <v>-2088</v>
      </c>
      <c r="G84" s="144">
        <f t="shared" si="58"/>
        <v>776</v>
      </c>
      <c r="H84" s="225">
        <f t="shared" si="58"/>
        <v>-6267</v>
      </c>
      <c r="I84" s="144">
        <f t="shared" si="58"/>
        <v>5460.8878100654329</v>
      </c>
      <c r="J84" s="144">
        <f t="shared" si="58"/>
        <v>-1161.511733147614</v>
      </c>
      <c r="K84" s="144">
        <f t="shared" si="58"/>
        <v>279.91988708099962</v>
      </c>
      <c r="L84" s="144">
        <f t="shared" si="58"/>
        <v>-1275.299514968945</v>
      </c>
      <c r="M84" s="144">
        <f t="shared" si="58"/>
        <v>-1504.4477206671072</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F02C1-507C-42E3-9AD2-3D2AEA82C35E}">
  <dimension ref="B2:I48"/>
  <sheetViews>
    <sheetView showGridLines="0" zoomScale="77" workbookViewId="0">
      <pane xSplit="1" ySplit="3" topLeftCell="B37" activePane="bottomRight" state="frozen"/>
      <selection pane="topRight" activeCell="B1" sqref="B1"/>
      <selection pane="bottomLeft" activeCell="A4" sqref="A4"/>
      <selection pane="bottomRight" activeCell="B3" sqref="B3"/>
    </sheetView>
  </sheetViews>
  <sheetFormatPr defaultRowHeight="15" x14ac:dyDescent="0.25"/>
  <cols>
    <col min="1" max="1" width="3.77734375" style="1" customWidth="1"/>
    <col min="2" max="2" width="39.33203125" style="1" bestFit="1" customWidth="1"/>
    <col min="3" max="3" width="13.33203125" style="1" bestFit="1" customWidth="1"/>
    <col min="4" max="7" width="14.5546875" style="1" bestFit="1" customWidth="1"/>
    <col min="8" max="16384" width="8.88671875" style="1"/>
  </cols>
  <sheetData>
    <row r="2" spans="2:7" ht="15.6" x14ac:dyDescent="0.3">
      <c r="B2" s="105" t="s">
        <v>274</v>
      </c>
      <c r="C2" s="105"/>
      <c r="D2" s="105"/>
      <c r="E2" s="105"/>
      <c r="F2" s="105"/>
      <c r="G2" s="105"/>
    </row>
    <row r="3" spans="2:7" ht="15.6" x14ac:dyDescent="0.3">
      <c r="B3" s="106" t="s">
        <v>13</v>
      </c>
      <c r="C3" s="111">
        <v>2021</v>
      </c>
      <c r="D3" s="111">
        <f>C3+1</f>
        <v>2022</v>
      </c>
      <c r="E3" s="111">
        <f t="shared" ref="E3:G3" si="0">D3+1</f>
        <v>2023</v>
      </c>
      <c r="F3" s="111">
        <f t="shared" si="0"/>
        <v>2024</v>
      </c>
      <c r="G3" s="111">
        <f t="shared" si="0"/>
        <v>2025</v>
      </c>
    </row>
    <row r="4" spans="2:7" ht="15.6" x14ac:dyDescent="0.25">
      <c r="B4" s="102" t="s">
        <v>86</v>
      </c>
      <c r="C4" s="103"/>
      <c r="D4" s="103"/>
      <c r="E4" s="103"/>
      <c r="F4" s="103"/>
      <c r="G4" s="103"/>
    </row>
    <row r="5" spans="2:7" ht="15.6" x14ac:dyDescent="0.25">
      <c r="B5" s="102" t="s">
        <v>38</v>
      </c>
      <c r="C5" s="107">
        <v>42658</v>
      </c>
      <c r="D5" s="107">
        <v>52947</v>
      </c>
      <c r="E5" s="107">
        <v>70175</v>
      </c>
      <c r="F5" s="107">
        <v>108717</v>
      </c>
      <c r="G5" s="107">
        <v>174267</v>
      </c>
    </row>
    <row r="6" spans="2:7" x14ac:dyDescent="0.25">
      <c r="B6" s="103" t="s">
        <v>87</v>
      </c>
      <c r="C6" s="107">
        <v>5643</v>
      </c>
      <c r="D6" s="107">
        <v>8699</v>
      </c>
      <c r="E6" s="107">
        <v>10539</v>
      </c>
      <c r="F6" s="107">
        <v>16190.000000000002</v>
      </c>
      <c r="G6" s="107">
        <v>20768</v>
      </c>
    </row>
    <row r="7" spans="2:7" x14ac:dyDescent="0.25">
      <c r="B7" s="119" t="s">
        <v>129</v>
      </c>
      <c r="C7" s="120">
        <f>C6/C9</f>
        <v>0.7104368626463553</v>
      </c>
      <c r="D7" s="120">
        <f t="shared" ref="D7:G7" si="1">D6/D9</f>
        <v>0.79814661895586747</v>
      </c>
      <c r="E7" s="120">
        <f t="shared" si="1"/>
        <v>0.79605710401087693</v>
      </c>
      <c r="F7" s="120">
        <f t="shared" si="1"/>
        <v>0.8306824012314008</v>
      </c>
      <c r="G7" s="120">
        <f t="shared" si="1"/>
        <v>0.82846657092707832</v>
      </c>
    </row>
    <row r="8" spans="2:7" x14ac:dyDescent="0.25">
      <c r="B8" s="103" t="s">
        <v>88</v>
      </c>
      <c r="C8" s="107">
        <v>2300</v>
      </c>
      <c r="D8" s="107">
        <v>2200</v>
      </c>
      <c r="E8" s="107">
        <v>2700</v>
      </c>
      <c r="F8" s="107">
        <v>3300</v>
      </c>
      <c r="G8" s="107">
        <v>4300</v>
      </c>
    </row>
    <row r="9" spans="2:7" ht="15.6" x14ac:dyDescent="0.25">
      <c r="B9" s="102" t="s">
        <v>89</v>
      </c>
      <c r="C9" s="110">
        <v>7943</v>
      </c>
      <c r="D9" s="110">
        <v>10899</v>
      </c>
      <c r="E9" s="110">
        <v>13239</v>
      </c>
      <c r="F9" s="110">
        <v>19490</v>
      </c>
      <c r="G9" s="110">
        <v>25068</v>
      </c>
    </row>
    <row r="10" spans="2:7" x14ac:dyDescent="0.25">
      <c r="B10" s="103"/>
      <c r="C10" s="107"/>
      <c r="D10" s="107"/>
      <c r="E10" s="107"/>
      <c r="F10" s="107"/>
      <c r="G10" s="107"/>
    </row>
    <row r="11" spans="2:7" x14ac:dyDescent="0.25">
      <c r="B11" s="103" t="s">
        <v>90</v>
      </c>
      <c r="C11" s="107">
        <v>1401</v>
      </c>
      <c r="D11" s="107">
        <v>1939</v>
      </c>
      <c r="E11" s="107">
        <v>2043.0000000000002</v>
      </c>
      <c r="F11" s="107">
        <v>2150</v>
      </c>
      <c r="G11" s="107">
        <v>3129</v>
      </c>
    </row>
    <row r="12" spans="2:7" x14ac:dyDescent="0.25">
      <c r="B12" s="103" t="s">
        <v>91</v>
      </c>
      <c r="C12" s="107">
        <v>-3500</v>
      </c>
      <c r="D12" s="107">
        <v>1164</v>
      </c>
      <c r="E12" s="107">
        <v>95</v>
      </c>
      <c r="F12" s="107">
        <v>-1000</v>
      </c>
      <c r="G12" s="107">
        <v>6535</v>
      </c>
    </row>
    <row r="13" spans="2:7" x14ac:dyDescent="0.25">
      <c r="B13" s="103" t="s">
        <v>92</v>
      </c>
      <c r="C13" s="107" t="s">
        <v>16</v>
      </c>
      <c r="D13" s="107" t="s">
        <v>16</v>
      </c>
      <c r="E13" s="107" t="s">
        <v>16</v>
      </c>
      <c r="F13" s="107" t="s">
        <v>16</v>
      </c>
      <c r="G13" s="107">
        <v>-92500</v>
      </c>
    </row>
    <row r="14" spans="2:7" x14ac:dyDescent="0.25">
      <c r="B14" s="103" t="s">
        <v>93</v>
      </c>
      <c r="C14" s="107">
        <v>9631</v>
      </c>
      <c r="D14" s="107">
        <v>4200</v>
      </c>
      <c r="E14" s="107">
        <v>15558</v>
      </c>
      <c r="F14" s="107">
        <v>22060</v>
      </c>
      <c r="G14" s="107">
        <v>24878</v>
      </c>
    </row>
    <row r="15" spans="2:7" x14ac:dyDescent="0.25">
      <c r="B15" s="103" t="s">
        <v>94</v>
      </c>
      <c r="C15" s="107">
        <v>2953</v>
      </c>
      <c r="D15" s="107">
        <v>-2400</v>
      </c>
      <c r="E15" s="107">
        <v>-1600</v>
      </c>
      <c r="F15" s="107">
        <v>-1800</v>
      </c>
      <c r="G15" s="107">
        <v>27096</v>
      </c>
    </row>
    <row r="16" spans="2:7" x14ac:dyDescent="0.25">
      <c r="B16" s="103" t="s">
        <v>95</v>
      </c>
      <c r="C16" s="107">
        <v>-2100</v>
      </c>
      <c r="D16" s="107">
        <v>-2500</v>
      </c>
      <c r="E16" s="107">
        <v>-2900</v>
      </c>
      <c r="F16" s="107">
        <v>-7300</v>
      </c>
      <c r="G16" s="107">
        <v>-1200</v>
      </c>
    </row>
    <row r="17" spans="2:9" x14ac:dyDescent="0.25">
      <c r="B17" s="103" t="s">
        <v>96</v>
      </c>
      <c r="C17" s="107">
        <v>-300</v>
      </c>
      <c r="D17" s="107">
        <v>5102</v>
      </c>
      <c r="E17" s="107">
        <v>10634</v>
      </c>
      <c r="F17" s="107">
        <v>2928</v>
      </c>
      <c r="G17" s="107">
        <v>3359</v>
      </c>
    </row>
    <row r="18" spans="2:9" x14ac:dyDescent="0.25">
      <c r="B18" s="103" t="s">
        <v>97</v>
      </c>
      <c r="C18" s="107">
        <v>3386</v>
      </c>
      <c r="D18" s="107">
        <v>-700</v>
      </c>
      <c r="E18" s="107">
        <v>3593</v>
      </c>
      <c r="F18" s="107">
        <v>9249</v>
      </c>
      <c r="G18" s="107">
        <v>9941</v>
      </c>
    </row>
    <row r="19" spans="2:9" ht="15.6" thickBot="1" x14ac:dyDescent="0.3">
      <c r="B19" s="108" t="s">
        <v>98</v>
      </c>
      <c r="C19" s="109">
        <v>-13200</v>
      </c>
      <c r="D19" s="109">
        <v>5605</v>
      </c>
      <c r="E19" s="109">
        <v>10762</v>
      </c>
      <c r="F19" s="109">
        <v>3116</v>
      </c>
      <c r="G19" s="109">
        <v>-27600</v>
      </c>
    </row>
    <row r="20" spans="2:9" ht="15.6" x14ac:dyDescent="0.25">
      <c r="B20" s="102" t="s">
        <v>99</v>
      </c>
      <c r="C20" s="110">
        <v>48878</v>
      </c>
      <c r="D20" s="110">
        <v>76238</v>
      </c>
      <c r="E20" s="110">
        <v>121601</v>
      </c>
      <c r="F20" s="110">
        <v>157610</v>
      </c>
      <c r="G20" s="110">
        <v>153065</v>
      </c>
    </row>
    <row r="21" spans="2:9" ht="15.6" x14ac:dyDescent="0.3">
      <c r="B21" s="103"/>
      <c r="C21"/>
      <c r="D21"/>
      <c r="E21"/>
      <c r="F21"/>
      <c r="G21"/>
    </row>
    <row r="22" spans="2:9" x14ac:dyDescent="0.25">
      <c r="B22" s="103" t="s">
        <v>100</v>
      </c>
      <c r="C22" s="107">
        <v>-28000</v>
      </c>
      <c r="D22" s="107">
        <v>-23900</v>
      </c>
      <c r="E22" s="107">
        <v>-40800</v>
      </c>
      <c r="F22" s="107">
        <v>-51900</v>
      </c>
      <c r="G22" s="107">
        <v>-47400</v>
      </c>
      <c r="I22" s="104"/>
    </row>
    <row r="23" spans="2:9" x14ac:dyDescent="0.25">
      <c r="B23" s="103" t="s">
        <v>101</v>
      </c>
      <c r="C23" s="107">
        <v>7207</v>
      </c>
      <c r="D23" s="107">
        <v>4062.9999999999995</v>
      </c>
      <c r="E23" s="107">
        <v>320</v>
      </c>
      <c r="F23" s="107">
        <v>4000</v>
      </c>
      <c r="G23" s="107">
        <v>17330</v>
      </c>
    </row>
    <row r="24" spans="2:9" x14ac:dyDescent="0.25">
      <c r="B24" s="103" t="s">
        <v>102</v>
      </c>
      <c r="C24" s="107">
        <v>-4900</v>
      </c>
      <c r="D24" s="107">
        <v>-7800</v>
      </c>
      <c r="E24" s="107">
        <v>-10800</v>
      </c>
      <c r="F24" s="107">
        <v>-14000</v>
      </c>
      <c r="G24" s="107">
        <v>-18500</v>
      </c>
    </row>
    <row r="25" spans="2:9" x14ac:dyDescent="0.25">
      <c r="B25" s="103" t="s">
        <v>103</v>
      </c>
      <c r="C25" s="107" t="s">
        <v>16</v>
      </c>
      <c r="D25" s="107" t="s">
        <v>16</v>
      </c>
      <c r="E25" s="107" t="s">
        <v>16</v>
      </c>
      <c r="F25" s="107" t="s">
        <v>16</v>
      </c>
      <c r="G25" s="107" t="s">
        <v>16</v>
      </c>
    </row>
    <row r="26" spans="2:9" x14ac:dyDescent="0.25">
      <c r="B26" s="103" t="s">
        <v>104</v>
      </c>
      <c r="C26" s="107">
        <v>-4200</v>
      </c>
      <c r="D26" s="107">
        <v>-1000</v>
      </c>
      <c r="E26" s="107">
        <v>-800</v>
      </c>
      <c r="F26" s="107">
        <v>-500</v>
      </c>
      <c r="G26" s="107">
        <v>31187</v>
      </c>
    </row>
    <row r="27" spans="2:9" x14ac:dyDescent="0.25">
      <c r="B27" s="103" t="s">
        <v>105</v>
      </c>
      <c r="C27" s="107" t="s">
        <v>16</v>
      </c>
      <c r="D27" s="107" t="s">
        <v>16</v>
      </c>
      <c r="E27" s="107" t="s">
        <v>16</v>
      </c>
      <c r="F27" s="107" t="s">
        <v>16</v>
      </c>
      <c r="G27" s="107" t="s">
        <v>16</v>
      </c>
    </row>
    <row r="28" spans="2:9" ht="15.6" thickBot="1" x14ac:dyDescent="0.3">
      <c r="B28" s="108" t="s">
        <v>106</v>
      </c>
      <c r="C28" s="109" t="s">
        <v>16</v>
      </c>
      <c r="D28" s="109" t="s">
        <v>16</v>
      </c>
      <c r="E28" s="109" t="s">
        <v>16</v>
      </c>
      <c r="F28" s="109" t="s">
        <v>16</v>
      </c>
      <c r="G28" s="109" t="s">
        <v>16</v>
      </c>
    </row>
    <row r="29" spans="2:9" ht="15.6" x14ac:dyDescent="0.25">
      <c r="B29" s="102" t="s">
        <v>107</v>
      </c>
      <c r="C29" s="110">
        <v>-29900</v>
      </c>
      <c r="D29" s="110">
        <v>-28700</v>
      </c>
      <c r="E29" s="110">
        <v>-52200</v>
      </c>
      <c r="F29" s="110">
        <v>-62500</v>
      </c>
      <c r="G29" s="110">
        <v>-17500</v>
      </c>
    </row>
    <row r="30" spans="2:9" ht="15.6" x14ac:dyDescent="0.3">
      <c r="B30" s="103"/>
      <c r="C30"/>
      <c r="D30"/>
      <c r="E30"/>
      <c r="F30"/>
      <c r="G30"/>
    </row>
    <row r="31" spans="2:9" x14ac:dyDescent="0.25">
      <c r="B31" s="103" t="s">
        <v>108</v>
      </c>
      <c r="C31" s="107" t="s">
        <v>16</v>
      </c>
      <c r="D31" s="107" t="s">
        <v>16</v>
      </c>
      <c r="E31" s="107" t="s">
        <v>16</v>
      </c>
      <c r="F31" s="107" t="s">
        <v>16</v>
      </c>
      <c r="G31" s="107" t="s">
        <v>16</v>
      </c>
    </row>
    <row r="32" spans="2:9" x14ac:dyDescent="0.25">
      <c r="B32" s="103" t="s">
        <v>109</v>
      </c>
      <c r="C32" s="107" t="s">
        <v>16</v>
      </c>
      <c r="D32" s="107">
        <v>250000</v>
      </c>
      <c r="E32" s="107" t="s">
        <v>16</v>
      </c>
      <c r="F32" s="107">
        <v>500000</v>
      </c>
      <c r="G32" s="107" t="s">
        <v>16</v>
      </c>
    </row>
    <row r="33" spans="2:7" ht="15.6" x14ac:dyDescent="0.25">
      <c r="B33" s="102" t="s">
        <v>110</v>
      </c>
      <c r="C33" s="107" t="s">
        <v>16</v>
      </c>
      <c r="D33" s="107">
        <v>250000</v>
      </c>
      <c r="E33" s="107" t="s">
        <v>16</v>
      </c>
      <c r="F33" s="107">
        <v>500000</v>
      </c>
      <c r="G33" s="107" t="s">
        <v>16</v>
      </c>
    </row>
    <row r="34" spans="2:7" x14ac:dyDescent="0.25">
      <c r="B34" s="103" t="s">
        <v>111</v>
      </c>
      <c r="C34" s="107" t="s">
        <v>16</v>
      </c>
      <c r="D34" s="107" t="s">
        <v>16</v>
      </c>
      <c r="E34" s="107" t="s">
        <v>16</v>
      </c>
      <c r="F34" s="107" t="s">
        <v>16</v>
      </c>
      <c r="G34" s="107" t="s">
        <v>16</v>
      </c>
    </row>
    <row r="35" spans="2:7" x14ac:dyDescent="0.25">
      <c r="B35" s="103" t="s">
        <v>112</v>
      </c>
      <c r="C35" s="107">
        <v>-2400</v>
      </c>
      <c r="D35" s="107">
        <v>-3000</v>
      </c>
      <c r="E35" s="107">
        <v>-3700</v>
      </c>
      <c r="F35" s="107" t="s">
        <v>16</v>
      </c>
      <c r="G35" s="107" t="s">
        <v>16</v>
      </c>
    </row>
    <row r="36" spans="2:7" ht="15.6" x14ac:dyDescent="0.25">
      <c r="B36" s="102" t="s">
        <v>113</v>
      </c>
      <c r="C36" s="107">
        <v>-2400</v>
      </c>
      <c r="D36" s="107">
        <v>-3000</v>
      </c>
      <c r="E36" s="107">
        <v>-3700</v>
      </c>
      <c r="F36" s="107" t="s">
        <v>16</v>
      </c>
      <c r="G36" s="107" t="s">
        <v>16</v>
      </c>
    </row>
    <row r="37" spans="2:7" x14ac:dyDescent="0.25">
      <c r="B37" s="103"/>
      <c r="C37" s="107"/>
      <c r="D37" s="107"/>
      <c r="E37" s="107"/>
      <c r="F37" s="107"/>
      <c r="G37" s="107"/>
    </row>
    <row r="38" spans="2:7" x14ac:dyDescent="0.25">
      <c r="B38" s="103" t="s">
        <v>114</v>
      </c>
      <c r="C38" s="107">
        <v>748</v>
      </c>
      <c r="D38" s="107">
        <v>3315</v>
      </c>
      <c r="E38" s="107">
        <v>951</v>
      </c>
      <c r="F38" s="107">
        <v>1557</v>
      </c>
      <c r="G38" s="107">
        <v>1367</v>
      </c>
    </row>
    <row r="39" spans="2:7" x14ac:dyDescent="0.25">
      <c r="B39" s="103" t="s">
        <v>115</v>
      </c>
      <c r="C39" s="107">
        <v>-1900</v>
      </c>
      <c r="D39" s="107">
        <v>-300</v>
      </c>
      <c r="E39" s="107">
        <v>-127900</v>
      </c>
      <c r="F39" s="107">
        <v>-319100</v>
      </c>
      <c r="G39" s="107">
        <v>-235700</v>
      </c>
    </row>
    <row r="40" spans="2:7" x14ac:dyDescent="0.25">
      <c r="B40" s="103"/>
      <c r="C40" s="107"/>
      <c r="D40" s="107"/>
      <c r="E40" s="107"/>
      <c r="F40" s="107"/>
      <c r="G40" s="107"/>
    </row>
    <row r="41" spans="2:7" x14ac:dyDescent="0.25">
      <c r="B41" s="103" t="s">
        <v>116</v>
      </c>
      <c r="C41" s="107">
        <v>-19800</v>
      </c>
      <c r="D41" s="107">
        <v>-21800</v>
      </c>
      <c r="E41" s="107">
        <v>-24900</v>
      </c>
      <c r="F41" s="107">
        <v>-28900</v>
      </c>
      <c r="G41" s="107">
        <v>-32400</v>
      </c>
    </row>
    <row r="42" spans="2:7" ht="15.6" x14ac:dyDescent="0.25">
      <c r="B42" s="102" t="s">
        <v>117</v>
      </c>
      <c r="C42" s="110">
        <v>-19800</v>
      </c>
      <c r="D42" s="110">
        <v>-21800</v>
      </c>
      <c r="E42" s="110">
        <v>-24900</v>
      </c>
      <c r="F42" s="110">
        <v>-28900</v>
      </c>
      <c r="G42" s="110">
        <v>-32400</v>
      </c>
    </row>
    <row r="43" spans="2:7" ht="15.6" x14ac:dyDescent="0.3">
      <c r="B43" s="103"/>
      <c r="C43"/>
      <c r="D43"/>
      <c r="E43"/>
      <c r="F43"/>
      <c r="G43"/>
    </row>
    <row r="44" spans="2:7" x14ac:dyDescent="0.25">
      <c r="B44" s="103" t="s">
        <v>118</v>
      </c>
      <c r="C44" s="107" t="s">
        <v>16</v>
      </c>
      <c r="D44" s="107">
        <v>-119500</v>
      </c>
      <c r="E44" s="107" t="s">
        <v>16</v>
      </c>
      <c r="F44" s="107" t="s">
        <v>16</v>
      </c>
      <c r="G44" s="107" t="s">
        <v>16</v>
      </c>
    </row>
    <row r="45" spans="2:7" ht="15.6" thickBot="1" x14ac:dyDescent="0.3">
      <c r="B45" s="108" t="s">
        <v>119</v>
      </c>
      <c r="C45" s="109" t="s">
        <v>16</v>
      </c>
      <c r="D45" s="109">
        <v>-5400</v>
      </c>
      <c r="E45" s="109" t="s">
        <v>16</v>
      </c>
      <c r="F45" s="109">
        <v>-8800</v>
      </c>
      <c r="G45" s="109" t="s">
        <v>16</v>
      </c>
    </row>
    <row r="46" spans="2:7" ht="15.6" x14ac:dyDescent="0.25">
      <c r="B46" s="102" t="s">
        <v>120</v>
      </c>
      <c r="C46" s="110">
        <v>-23400</v>
      </c>
      <c r="D46" s="110">
        <v>103254</v>
      </c>
      <c r="E46" s="110">
        <v>-155500</v>
      </c>
      <c r="F46" s="110">
        <v>144765</v>
      </c>
      <c r="G46" s="110">
        <v>-266700</v>
      </c>
    </row>
    <row r="47" spans="2:7" ht="15.6" x14ac:dyDescent="0.3">
      <c r="B47" s="103"/>
      <c r="C47"/>
      <c r="D47"/>
      <c r="E47"/>
      <c r="F47"/>
      <c r="G47"/>
    </row>
    <row r="48" spans="2:7" ht="15.6" x14ac:dyDescent="0.25">
      <c r="B48" s="102" t="s">
        <v>121</v>
      </c>
      <c r="C48" s="110">
        <v>-4400</v>
      </c>
      <c r="D48" s="110">
        <v>150809</v>
      </c>
      <c r="E48" s="110">
        <v>-86000</v>
      </c>
      <c r="F48" s="110">
        <v>239898</v>
      </c>
      <c r="G48" s="110">
        <v>-131100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A1DCA-9BB5-494E-BFF0-FE1DF2B49DA4}">
  <dimension ref="B2:L45"/>
  <sheetViews>
    <sheetView showGridLines="0" zoomScale="84" workbookViewId="0">
      <pane xSplit="1" ySplit="3" topLeftCell="B22" activePane="bottomRight" state="frozen"/>
      <selection pane="topRight" activeCell="B1" sqref="B1"/>
      <selection pane="bottomLeft" activeCell="A4" sqref="A4"/>
      <selection pane="bottomRight" activeCell="O19" sqref="O19"/>
    </sheetView>
  </sheetViews>
  <sheetFormatPr defaultRowHeight="15" x14ac:dyDescent="0.25"/>
  <cols>
    <col min="1" max="1" width="3.77734375" style="63" customWidth="1"/>
    <col min="2" max="2" width="43.77734375" style="63" bestFit="1" customWidth="1"/>
    <col min="3" max="3" width="8.88671875" style="63"/>
    <col min="4" max="4" width="11" style="63" bestFit="1" customWidth="1"/>
    <col min="5" max="5" width="10.5546875" style="63" bestFit="1" customWidth="1"/>
    <col min="6" max="8" width="11" style="63" bestFit="1" customWidth="1"/>
    <col min="9" max="12" width="11.77734375" style="63" bestFit="1" customWidth="1"/>
    <col min="13" max="16384" width="8.88671875" style="63"/>
  </cols>
  <sheetData>
    <row r="2" spans="2:12" ht="15.6" x14ac:dyDescent="0.3">
      <c r="B2" s="105" t="s">
        <v>6</v>
      </c>
      <c r="C2" s="105"/>
      <c r="D2" s="105"/>
      <c r="E2" s="105"/>
      <c r="F2" s="105"/>
      <c r="G2" s="105"/>
      <c r="H2" s="105"/>
      <c r="I2" s="105"/>
      <c r="J2" s="105"/>
      <c r="K2" s="105"/>
      <c r="L2" s="105"/>
    </row>
    <row r="3" spans="2:12" ht="15.6" customHeight="1" x14ac:dyDescent="0.3">
      <c r="B3" s="106" t="s">
        <v>13</v>
      </c>
      <c r="C3" s="111"/>
      <c r="D3" s="111">
        <v>2022</v>
      </c>
      <c r="E3" s="111">
        <f t="shared" ref="E3:G3" si="0">D3+1</f>
        <v>2023</v>
      </c>
      <c r="F3" s="111">
        <f t="shared" si="0"/>
        <v>2024</v>
      </c>
      <c r="G3" s="148">
        <f t="shared" si="0"/>
        <v>2025</v>
      </c>
      <c r="H3" s="146">
        <f t="shared" ref="H3" si="1">G3+1</f>
        <v>2026</v>
      </c>
      <c r="I3" s="146">
        <f t="shared" ref="I3" si="2">H3+1</f>
        <v>2027</v>
      </c>
      <c r="J3" s="146">
        <f t="shared" ref="J3" si="3">I3+1</f>
        <v>2028</v>
      </c>
      <c r="K3" s="146">
        <f t="shared" ref="K3" si="4">J3+1</f>
        <v>2029</v>
      </c>
      <c r="L3" s="146">
        <f t="shared" ref="L3" si="5">K3+1</f>
        <v>2030</v>
      </c>
    </row>
    <row r="4" spans="2:12" x14ac:dyDescent="0.25">
      <c r="B4" s="63" t="s">
        <v>38</v>
      </c>
      <c r="D4" s="138">
        <f>'Income Statement'!E20</f>
        <v>52947</v>
      </c>
      <c r="E4" s="138">
        <f>'Income Statement'!F20</f>
        <v>70175</v>
      </c>
      <c r="F4" s="138">
        <f>'Income Statement'!G20</f>
        <v>108717</v>
      </c>
      <c r="G4" s="139">
        <f>'Income Statement'!H20</f>
        <v>174267</v>
      </c>
      <c r="H4" s="138">
        <f>'Income Statement'!I20</f>
        <v>133449.0998007617</v>
      </c>
      <c r="I4" s="138">
        <f>'Income Statement'!J20</f>
        <v>146855.00560094841</v>
      </c>
      <c r="J4" s="138">
        <f>'Income Statement'!K20</f>
        <v>163194.95363571381</v>
      </c>
      <c r="K4" s="138">
        <f>'Income Statement'!L20</f>
        <v>190194.3885566052</v>
      </c>
      <c r="L4" s="138">
        <f>'Income Statement'!M20</f>
        <v>221477.93536128523</v>
      </c>
    </row>
    <row r="5" spans="2:12" x14ac:dyDescent="0.25">
      <c r="G5" s="79"/>
    </row>
    <row r="6" spans="2:12" ht="15.6" x14ac:dyDescent="0.3">
      <c r="B6" s="88" t="s">
        <v>157</v>
      </c>
      <c r="G6" s="79"/>
    </row>
    <row r="7" spans="2:12" ht="15.6" x14ac:dyDescent="0.3">
      <c r="B7" s="88"/>
      <c r="G7" s="79"/>
    </row>
    <row r="8" spans="2:12" ht="15.6" x14ac:dyDescent="0.3">
      <c r="B8" s="88" t="s">
        <v>153</v>
      </c>
      <c r="G8" s="79"/>
    </row>
    <row r="9" spans="2:12" x14ac:dyDescent="0.25">
      <c r="B9" s="68" t="s">
        <v>52</v>
      </c>
      <c r="D9" s="93">
        <f>('Balance Sheet'!E6-'Balance Sheet'!D6)*-1</f>
        <v>-9848</v>
      </c>
      <c r="E9" s="93">
        <f>('Balance Sheet'!F6-'Balance Sheet'!E6)*-1</f>
        <v>1852</v>
      </c>
      <c r="F9" s="93">
        <f>('Balance Sheet'!G6-'Balance Sheet'!F6)*-1</f>
        <v>-9424</v>
      </c>
      <c r="G9" s="137">
        <f>('Balance Sheet'!H6-'Balance Sheet'!G6)*-1</f>
        <v>-5126</v>
      </c>
      <c r="H9" s="93">
        <f>('Balance Sheet'!I6-'Balance Sheet'!H6)*-1</f>
        <v>3907.7040567583026</v>
      </c>
      <c r="I9" s="93">
        <f>('Balance Sheet'!J6-'Balance Sheet'!I6)*-1</f>
        <v>-4477.8274010747773</v>
      </c>
      <c r="J9" s="93">
        <f>('Balance Sheet'!K6-'Balance Sheet'!J6)*-1</f>
        <v>-3011.9397100467286</v>
      </c>
      <c r="K9" s="93">
        <f>('Balance Sheet'!L6-'Balance Sheet'!K6)*-1</f>
        <v>-5253.9358913286014</v>
      </c>
      <c r="L9" s="93">
        <f>('Balance Sheet'!M6-'Balance Sheet'!L6)*-1</f>
        <v>-4583.8582745575186</v>
      </c>
    </row>
    <row r="10" spans="2:12" x14ac:dyDescent="0.25">
      <c r="B10" s="68" t="s">
        <v>53</v>
      </c>
      <c r="D10" s="93">
        <f>('Balance Sheet'!E7-'Balance Sheet'!D7)*-1</f>
        <v>-2468</v>
      </c>
      <c r="E10" s="93">
        <f>('Balance Sheet'!F7-'Balance Sheet'!E7)*-1</f>
        <v>-2947</v>
      </c>
      <c r="F10" s="93">
        <f>('Balance Sheet'!G7-'Balance Sheet'!F7)*-1</f>
        <v>-7253</v>
      </c>
      <c r="G10" s="137">
        <f>('Balance Sheet'!H7-'Balance Sheet'!G7)*-1</f>
        <v>-1162</v>
      </c>
      <c r="H10" s="93">
        <f>('Balance Sheet'!I7-'Balance Sheet'!H7)*-1</f>
        <v>-4230.0123539492815</v>
      </c>
      <c r="I10" s="93">
        <f>('Balance Sheet'!J7-'Balance Sheet'!I7)*-1</f>
        <v>-1952.6400429985406</v>
      </c>
      <c r="J10" s="93">
        <f>('Balance Sheet'!K7-'Balance Sheet'!J7)*-1</f>
        <v>-6574.9221005554791</v>
      </c>
      <c r="K10" s="93">
        <f>('Balance Sheet'!L7-'Balance Sheet'!K7)*-1</f>
        <v>-4393.0852715467336</v>
      </c>
      <c r="L10" s="93">
        <f>('Balance Sheet'!M7-'Balance Sheet'!L7)*-1</f>
        <v>-5176.6490547489157</v>
      </c>
    </row>
    <row r="11" spans="2:12" x14ac:dyDescent="0.25">
      <c r="B11" s="68" t="s">
        <v>54</v>
      </c>
      <c r="D11" s="93">
        <f>('Balance Sheet'!E8-'Balance Sheet'!D8)*-1</f>
        <v>676</v>
      </c>
      <c r="E11" s="93">
        <f>('Balance Sheet'!F8-'Balance Sheet'!E8)*-1</f>
        <v>-696</v>
      </c>
      <c r="F11" s="93">
        <f>('Balance Sheet'!G8-'Balance Sheet'!F8)*-1</f>
        <v>-1572</v>
      </c>
      <c r="G11" s="137">
        <f>('Balance Sheet'!H8-'Balance Sheet'!G8)*-1</f>
        <v>-1436</v>
      </c>
      <c r="H11" s="93">
        <f>('Balance Sheet'!I8-'Balance Sheet'!H8)*-1</f>
        <v>-1482.1814439389727</v>
      </c>
      <c r="I11" s="93">
        <f>('Balance Sheet'!J8-'Balance Sheet'!I8)*-1</f>
        <v>95.422980912451749</v>
      </c>
      <c r="J11" s="93">
        <f>('Balance Sheet'!K8-'Balance Sheet'!J8)*-1</f>
        <v>-1283.0963083935458</v>
      </c>
      <c r="K11" s="93">
        <f>('Balance Sheet'!L8-'Balance Sheet'!K8)*-1</f>
        <v>-1499.8773952471056</v>
      </c>
      <c r="L11" s="93">
        <f>('Balance Sheet'!M8-'Balance Sheet'!L8)*-1</f>
        <v>-1884.2805495396078</v>
      </c>
    </row>
    <row r="12" spans="2:12" x14ac:dyDescent="0.25">
      <c r="B12" s="68" t="s">
        <v>55</v>
      </c>
      <c r="D12" s="93">
        <f>('Balance Sheet'!E9-'Balance Sheet'!D9)*-1</f>
        <v>-8970</v>
      </c>
      <c r="E12" s="93">
        <f>('Balance Sheet'!F9-'Balance Sheet'!E9)*-1</f>
        <v>-10161</v>
      </c>
      <c r="F12" s="93">
        <f>('Balance Sheet'!G9-'Balance Sheet'!F9)*-1</f>
        <v>-7331</v>
      </c>
      <c r="G12" s="137">
        <f>('Balance Sheet'!H9-'Balance Sheet'!G9)*-1</f>
        <v>16516</v>
      </c>
      <c r="H12" s="93">
        <f>('Balance Sheet'!I9-'Balance Sheet'!H9)*-1</f>
        <v>-13540.425427211958</v>
      </c>
      <c r="I12" s="93">
        <f>('Balance Sheet'!J9-'Balance Sheet'!I9)*-1</f>
        <v>933.65797962791476</v>
      </c>
      <c r="J12" s="93">
        <f>('Balance Sheet'!K9-'Balance Sheet'!J9)*-1</f>
        <v>464.59123622549305</v>
      </c>
      <c r="K12" s="93">
        <f>('Balance Sheet'!L9-'Balance Sheet'!K9)*-1</f>
        <v>-3700.3295171874415</v>
      </c>
      <c r="L12" s="93">
        <f>('Balance Sheet'!M9-'Balance Sheet'!L9)*-1</f>
        <v>1697.3081887640365</v>
      </c>
    </row>
    <row r="13" spans="2:12" x14ac:dyDescent="0.25">
      <c r="B13" s="70" t="s">
        <v>64</v>
      </c>
      <c r="D13" s="93">
        <f>'Balance Sheet'!E22-'Balance Sheet'!D22</f>
        <v>-195</v>
      </c>
      <c r="E13" s="93">
        <f>'Balance Sheet'!F22-'Balance Sheet'!E22</f>
        <v>-494</v>
      </c>
      <c r="F13" s="93">
        <f>'Balance Sheet'!G22-'Balance Sheet'!F22</f>
        <v>2218</v>
      </c>
      <c r="G13" s="137">
        <f>'Balance Sheet'!H22-'Balance Sheet'!G22</f>
        <v>5903</v>
      </c>
      <c r="H13" s="93">
        <f>'Balance Sheet'!I22-'Balance Sheet'!H22</f>
        <v>-3346.7328157942302</v>
      </c>
      <c r="I13" s="93">
        <f>'Balance Sheet'!J22-'Balance Sheet'!I22</f>
        <v>504.07655783031987</v>
      </c>
      <c r="J13" s="93">
        <f>'Balance Sheet'!K22-'Balance Sheet'!J22</f>
        <v>1207.4018978996282</v>
      </c>
      <c r="K13" s="93">
        <f>'Balance Sheet'!L22-'Balance Sheet'!K22</f>
        <v>1159.9042925201957</v>
      </c>
      <c r="L13" s="93">
        <f>'Balance Sheet'!M22-'Balance Sheet'!L22</f>
        <v>1686.3929805278185</v>
      </c>
    </row>
    <row r="14" spans="2:12" x14ac:dyDescent="0.25">
      <c r="B14" s="70" t="s">
        <v>65</v>
      </c>
      <c r="D14" s="93">
        <f>'Balance Sheet'!E23-'Balance Sheet'!D23</f>
        <v>0</v>
      </c>
      <c r="E14" s="93">
        <f>'Balance Sheet'!F23-'Balance Sheet'!E23</f>
        <v>0</v>
      </c>
      <c r="F14" s="93">
        <f>'Balance Sheet'!G23-'Balance Sheet'!F23</f>
        <v>1059</v>
      </c>
      <c r="G14" s="137">
        <f>'Balance Sheet'!H23-'Balance Sheet'!G23</f>
        <v>2173</v>
      </c>
      <c r="H14" s="93">
        <f>'Balance Sheet'!I23-'Balance Sheet'!H23</f>
        <v>-183.8834969361701</v>
      </c>
      <c r="I14" s="93">
        <f>'Balance Sheet'!J23-'Balance Sheet'!I23</f>
        <v>-583.85072184234059</v>
      </c>
      <c r="J14" s="93">
        <f>'Balance Sheet'!K23-'Balance Sheet'!J23</f>
        <v>-107.1677636082768</v>
      </c>
      <c r="K14" s="93">
        <f>'Balance Sheet'!L23-'Balance Sheet'!K23</f>
        <v>-224.73096904347949</v>
      </c>
      <c r="L14" s="93">
        <f>'Balance Sheet'!M23-'Balance Sheet'!L23</f>
        <v>-315.07519618281572</v>
      </c>
    </row>
    <row r="15" spans="2:12" x14ac:dyDescent="0.25">
      <c r="B15" s="70" t="s">
        <v>66</v>
      </c>
      <c r="D15" s="93">
        <f>'Balance Sheet'!E24-'Balance Sheet'!D24</f>
        <v>6656</v>
      </c>
      <c r="E15" s="93">
        <f>'Balance Sheet'!F24-'Balance Sheet'!E24</f>
        <v>6225</v>
      </c>
      <c r="F15" s="93">
        <f>'Balance Sheet'!G24-'Balance Sheet'!F24</f>
        <v>5831</v>
      </c>
      <c r="G15" s="137">
        <f>'Balance Sheet'!H24-'Balance Sheet'!G24</f>
        <v>2962</v>
      </c>
      <c r="H15" s="93">
        <f>'Balance Sheet'!I24-'Balance Sheet'!H24</f>
        <v>3598.0388036170261</v>
      </c>
      <c r="I15" s="93">
        <f>'Balance Sheet'!J24-'Balance Sheet'!I24</f>
        <v>2514.6522374033957</v>
      </c>
      <c r="J15" s="93">
        <f>'Balance Sheet'!K24-'Balance Sheet'!J24</f>
        <v>6370.6966239683898</v>
      </c>
      <c r="K15" s="93">
        <f>'Balance Sheet'!L24-'Balance Sheet'!K24</f>
        <v>6008.3578892426449</v>
      </c>
      <c r="L15" s="93">
        <f>'Balance Sheet'!M24-'Balance Sheet'!L24</f>
        <v>6878.984344427794</v>
      </c>
    </row>
    <row r="16" spans="2:12" x14ac:dyDescent="0.25">
      <c r="B16" s="70" t="s">
        <v>67</v>
      </c>
      <c r="D16" s="93">
        <f>'Balance Sheet'!E25-'Balance Sheet'!D25</f>
        <v>7300</v>
      </c>
      <c r="E16" s="93">
        <f>'Balance Sheet'!F25-'Balance Sheet'!E25</f>
        <v>-7300</v>
      </c>
      <c r="F16" s="93">
        <f>'Balance Sheet'!G25-'Balance Sheet'!F25</f>
        <v>0</v>
      </c>
      <c r="G16" s="137">
        <f>'Balance Sheet'!H25-'Balance Sheet'!G25</f>
        <v>0</v>
      </c>
      <c r="H16" s="93">
        <f>'Balance Sheet'!I25-'Balance Sheet'!H25</f>
        <v>0</v>
      </c>
      <c r="I16" s="93">
        <f>'Balance Sheet'!J25-'Balance Sheet'!I25</f>
        <v>0</v>
      </c>
      <c r="J16" s="93">
        <f>'Balance Sheet'!K25-'Balance Sheet'!J25</f>
        <v>0</v>
      </c>
      <c r="K16" s="93">
        <f>'Balance Sheet'!L25-'Balance Sheet'!K25</f>
        <v>0</v>
      </c>
      <c r="L16" s="93">
        <f>'Balance Sheet'!M25-'Balance Sheet'!L25</f>
        <v>0</v>
      </c>
    </row>
    <row r="17" spans="2:12" x14ac:dyDescent="0.25">
      <c r="B17" s="70" t="s">
        <v>68</v>
      </c>
      <c r="D17" s="93">
        <f>'Balance Sheet'!E26-'Balance Sheet'!D26</f>
        <v>8970</v>
      </c>
      <c r="E17" s="93">
        <f>'Balance Sheet'!F26-'Balance Sheet'!E26</f>
        <v>10161</v>
      </c>
      <c r="F17" s="93">
        <f>'Balance Sheet'!G26-'Balance Sheet'!F26</f>
        <v>7331</v>
      </c>
      <c r="G17" s="137">
        <f>'Balance Sheet'!H26-'Balance Sheet'!G26</f>
        <v>-16516</v>
      </c>
      <c r="H17" s="93">
        <f>'Balance Sheet'!I26-'Balance Sheet'!H26</f>
        <v>13540.425427211958</v>
      </c>
      <c r="I17" s="93">
        <f>'Balance Sheet'!J26-'Balance Sheet'!I26</f>
        <v>-933.65797962791476</v>
      </c>
      <c r="J17" s="93">
        <f>'Balance Sheet'!K26-'Balance Sheet'!J26</f>
        <v>-464.59123622549305</v>
      </c>
      <c r="K17" s="93">
        <f>'Balance Sheet'!L26-'Balance Sheet'!K26</f>
        <v>3700.3295171874415</v>
      </c>
      <c r="L17" s="93">
        <f>'Balance Sheet'!M26-'Balance Sheet'!L26</f>
        <v>-1697.3081887640365</v>
      </c>
    </row>
    <row r="18" spans="2:12" ht="15.6" x14ac:dyDescent="0.3">
      <c r="B18" s="88" t="s">
        <v>154</v>
      </c>
      <c r="D18" s="93"/>
      <c r="E18" s="93"/>
      <c r="F18" s="93"/>
      <c r="G18" s="137"/>
      <c r="H18" s="93"/>
      <c r="I18" s="93"/>
      <c r="J18" s="93"/>
      <c r="K18" s="93"/>
      <c r="L18" s="93"/>
    </row>
    <row r="19" spans="2:12" x14ac:dyDescent="0.25">
      <c r="B19" s="70" t="s">
        <v>58</v>
      </c>
      <c r="D19" s="93">
        <f>('Balance Sheet'!E12-'Balance Sheet'!D12)*-1</f>
        <v>0</v>
      </c>
      <c r="E19" s="93">
        <f>('Balance Sheet'!F12-'Balance Sheet'!E12)*-1</f>
        <v>0</v>
      </c>
      <c r="F19" s="93">
        <f>('Balance Sheet'!G12-'Balance Sheet'!F12)*-1</f>
        <v>-49046</v>
      </c>
      <c r="G19" s="137">
        <f>('Balance Sheet'!H12-'Balance Sheet'!G12)*-1</f>
        <v>409</v>
      </c>
      <c r="H19" s="93">
        <f>('Balance Sheet'!I12-'Balance Sheet'!H12)*-1</f>
        <v>2915.2524540425584</v>
      </c>
      <c r="I19" s="93">
        <f>('Balance Sheet'!J12-'Balance Sheet'!I12)*-1</f>
        <v>543.5415568968092</v>
      </c>
      <c r="J19" s="93">
        <f>('Balance Sheet'!K12-'Balance Sheet'!J12)*-1</f>
        <v>-1963.754363203625</v>
      </c>
      <c r="K19" s="93">
        <f>('Balance Sheet'!L12-'Balance Sheet'!K12)*-1</f>
        <v>-836.29824055473</v>
      </c>
      <c r="L19" s="93">
        <f>('Balance Sheet'!M12-'Balance Sheet'!L12)*-1</f>
        <v>-482.85747083213937</v>
      </c>
    </row>
    <row r="20" spans="2:12" x14ac:dyDescent="0.25">
      <c r="B20" s="70" t="s">
        <v>60</v>
      </c>
      <c r="D20" s="93">
        <f>('Balance Sheet'!E14-'Balance Sheet'!D14)*-1</f>
        <v>0</v>
      </c>
      <c r="E20" s="93">
        <f>('Balance Sheet'!F14-'Balance Sheet'!E14)*-1</f>
        <v>0</v>
      </c>
      <c r="F20" s="93">
        <f>('Balance Sheet'!G14-'Balance Sheet'!F14)*-1</f>
        <v>0</v>
      </c>
      <c r="G20" s="137">
        <f>('Balance Sheet'!H14-'Balance Sheet'!G14)*-1</f>
        <v>0</v>
      </c>
      <c r="H20" s="93">
        <f>('Balance Sheet'!I14-'Balance Sheet'!H14)*-1</f>
        <v>0</v>
      </c>
      <c r="I20" s="93">
        <f>('Balance Sheet'!J14-'Balance Sheet'!I14)*-1</f>
        <v>0</v>
      </c>
      <c r="J20" s="93">
        <f>('Balance Sheet'!K14-'Balance Sheet'!J14)*-1</f>
        <v>0</v>
      </c>
      <c r="K20" s="93">
        <f>('Balance Sheet'!L14-'Balance Sheet'!K14)*-1</f>
        <v>0</v>
      </c>
      <c r="L20" s="93">
        <f>('Balance Sheet'!M14-'Balance Sheet'!L14)*-1</f>
        <v>0</v>
      </c>
    </row>
    <row r="21" spans="2:12" x14ac:dyDescent="0.25">
      <c r="B21" s="70" t="s">
        <v>61</v>
      </c>
      <c r="D21" s="93">
        <f>('Balance Sheet'!E15-'Balance Sheet'!D15)*-1</f>
        <v>1287</v>
      </c>
      <c r="E21" s="93">
        <f>('Balance Sheet'!F15-'Balance Sheet'!E15)*-1</f>
        <v>1275</v>
      </c>
      <c r="F21" s="93">
        <f>('Balance Sheet'!G15-'Balance Sheet'!F15)*-1</f>
        <v>7740</v>
      </c>
      <c r="G21" s="137">
        <f>('Balance Sheet'!H15-'Balance Sheet'!G15)*-1</f>
        <v>0</v>
      </c>
      <c r="H21" s="93">
        <f>('Balance Sheet'!I15-'Balance Sheet'!H15)*-1</f>
        <v>0</v>
      </c>
      <c r="I21" s="93">
        <f>('Balance Sheet'!J15-'Balance Sheet'!I15)*-1</f>
        <v>0</v>
      </c>
      <c r="J21" s="93">
        <f>('Balance Sheet'!K15-'Balance Sheet'!J15)*-1</f>
        <v>0</v>
      </c>
      <c r="K21" s="93">
        <f>('Balance Sheet'!L15-'Balance Sheet'!K15)*-1</f>
        <v>0</v>
      </c>
      <c r="L21" s="93">
        <f>('Balance Sheet'!M15-'Balance Sheet'!L15)*-1</f>
        <v>0</v>
      </c>
    </row>
    <row r="22" spans="2:12" x14ac:dyDescent="0.25">
      <c r="B22" s="70" t="s">
        <v>62</v>
      </c>
      <c r="D22" s="93">
        <f>('Balance Sheet'!E16-'Balance Sheet'!D16)*-1</f>
        <v>0</v>
      </c>
      <c r="E22" s="93">
        <f>('Balance Sheet'!F16-'Balance Sheet'!E16)*-1</f>
        <v>0</v>
      </c>
      <c r="F22" s="93">
        <f>('Balance Sheet'!G16-'Balance Sheet'!F16)*-1</f>
        <v>-8511</v>
      </c>
      <c r="G22" s="137">
        <f>('Balance Sheet'!H16-'Balance Sheet'!G16)*-1</f>
        <v>-78653</v>
      </c>
      <c r="H22" s="93">
        <f>('Balance Sheet'!I16-'Balance Sheet'!H16)*-1</f>
        <v>0</v>
      </c>
      <c r="I22" s="93">
        <f>('Balance Sheet'!J16-'Balance Sheet'!I16)*-1</f>
        <v>0</v>
      </c>
      <c r="J22" s="93">
        <f>('Balance Sheet'!K16-'Balance Sheet'!J16)*-1</f>
        <v>0</v>
      </c>
      <c r="K22" s="93">
        <f>('Balance Sheet'!L16-'Balance Sheet'!K16)*-1</f>
        <v>0</v>
      </c>
      <c r="L22" s="93">
        <f>('Balance Sheet'!M16-'Balance Sheet'!L16)*-1</f>
        <v>0</v>
      </c>
    </row>
    <row r="23" spans="2:12" x14ac:dyDescent="0.25">
      <c r="B23" s="70" t="s">
        <v>63</v>
      </c>
      <c r="D23" s="93">
        <f>('Balance Sheet'!E17-'Balance Sheet'!D17)*-1</f>
        <v>-1766</v>
      </c>
      <c r="E23" s="93">
        <f>('Balance Sheet'!F17-'Balance Sheet'!E17)*-1</f>
        <v>-7603</v>
      </c>
      <c r="F23" s="93">
        <f>('Balance Sheet'!G17-'Balance Sheet'!F17)*-1</f>
        <v>4341</v>
      </c>
      <c r="G23" s="137">
        <f>('Balance Sheet'!H17-'Balance Sheet'!G17)*-1</f>
        <v>-13264</v>
      </c>
      <c r="H23" s="93">
        <f>('Balance Sheet'!I17-'Balance Sheet'!H17)*-1</f>
        <v>-4018.3899149585268</v>
      </c>
      <c r="I23" s="93">
        <f>('Balance Sheet'!J17-'Balance Sheet'!I17)*-1</f>
        <v>-3661.8229603537984</v>
      </c>
      <c r="J23" s="93">
        <f>('Balance Sheet'!K17-'Balance Sheet'!J17)*-1</f>
        <v>3502.2525230480678</v>
      </c>
      <c r="K23" s="93">
        <f>('Balance Sheet'!L17-'Balance Sheet'!K17)*-1</f>
        <v>15156.454623718266</v>
      </c>
      <c r="L23" s="93">
        <f>('Balance Sheet'!M17-'Balance Sheet'!L17)*-1</f>
        <v>-4360.3313191923517</v>
      </c>
    </row>
    <row r="24" spans="2:12" x14ac:dyDescent="0.25">
      <c r="B24" s="70" t="s">
        <v>71</v>
      </c>
      <c r="D24" s="93">
        <f>'Balance Sheet'!E29-'Balance Sheet'!D29</f>
        <v>0</v>
      </c>
      <c r="E24" s="93">
        <f>'Balance Sheet'!F29-'Balance Sheet'!E29</f>
        <v>0</v>
      </c>
      <c r="F24" s="93">
        <f>'Balance Sheet'!G29-'Balance Sheet'!F29</f>
        <v>58169</v>
      </c>
      <c r="G24" s="137">
        <f>'Balance Sheet'!H29-'Balance Sheet'!G29</f>
        <v>-89</v>
      </c>
      <c r="H24" s="93">
        <f>'Balance Sheet'!I29-'Balance Sheet'!H29</f>
        <v>-4737.9611963829739</v>
      </c>
      <c r="I24" s="93">
        <f>'Balance Sheet'!J29-'Balance Sheet'!I29</f>
        <v>50.386456181906397</v>
      </c>
      <c r="J24" s="93">
        <f>'Balance Sheet'!K29-'Balance Sheet'!J29</f>
        <v>3177.9271629181676</v>
      </c>
      <c r="K24" s="93">
        <f>'Balance Sheet'!L29-'Balance Sheet'!K29</f>
        <v>2069.741412950556</v>
      </c>
      <c r="L24" s="93">
        <f>'Balance Sheet'!M29-'Balance Sheet'!L29</f>
        <v>1936.3012438962542</v>
      </c>
    </row>
    <row r="25" spans="2:12" x14ac:dyDescent="0.25">
      <c r="B25" s="70" t="s">
        <v>72</v>
      </c>
      <c r="D25" s="93">
        <f>'Balance Sheet'!E30-'Balance Sheet'!D30</f>
        <v>-972</v>
      </c>
      <c r="E25" s="93">
        <f>'Balance Sheet'!F30-'Balance Sheet'!E30</f>
        <v>3093</v>
      </c>
      <c r="F25" s="93">
        <f>'Balance Sheet'!G30-'Balance Sheet'!F30</f>
        <v>8732</v>
      </c>
      <c r="G25" s="137">
        <f>'Balance Sheet'!H30-'Balance Sheet'!G30</f>
        <v>8844</v>
      </c>
      <c r="H25" s="93">
        <f>'Balance Sheet'!I30-'Balance Sheet'!H30</f>
        <v>1810.8931747872339</v>
      </c>
      <c r="I25" s="93">
        <f>'Balance Sheet'!J30-'Balance Sheet'!I30</f>
        <v>1396.2663037902093</v>
      </c>
      <c r="J25" s="93">
        <f>'Balance Sheet'!K30-'Balance Sheet'!J30</f>
        <v>4699.3537370943741</v>
      </c>
      <c r="K25" s="93">
        <f>'Balance Sheet'!L30-'Balance Sheet'!K30</f>
        <v>4078.7641442806998</v>
      </c>
      <c r="L25" s="93">
        <f>'Balance Sheet'!M30-'Balance Sheet'!L30</f>
        <v>4504.7014243852245</v>
      </c>
    </row>
    <row r="26" spans="2:12" x14ac:dyDescent="0.25">
      <c r="B26" s="70" t="s">
        <v>73</v>
      </c>
      <c r="D26" s="93">
        <f>'Balance Sheet'!E31-'Balance Sheet'!D31</f>
        <v>-3252</v>
      </c>
      <c r="E26" s="93">
        <f>'Balance Sheet'!F31-'Balance Sheet'!E31</f>
        <v>-459</v>
      </c>
      <c r="F26" s="93">
        <f>'Balance Sheet'!G31-'Balance Sheet'!F31</f>
        <v>-2636</v>
      </c>
      <c r="G26" s="137">
        <f>'Balance Sheet'!H31-'Balance Sheet'!G31</f>
        <v>32057</v>
      </c>
      <c r="H26" s="93">
        <f>'Balance Sheet'!I31-'Balance Sheet'!H31</f>
        <v>-18605.402495374205</v>
      </c>
      <c r="I26" s="93">
        <f>'Balance Sheet'!J31-'Balance Sheet'!I31</f>
        <v>-55.053054483963933</v>
      </c>
      <c r="J26" s="93">
        <f>'Balance Sheet'!K31-'Balance Sheet'!J31</f>
        <v>3260.3271305183971</v>
      </c>
      <c r="K26" s="93">
        <f>'Balance Sheet'!L31-'Balance Sheet'!K31</f>
        <v>4608.9182219745308</v>
      </c>
      <c r="L26" s="93">
        <f>'Balance Sheet'!M31-'Balance Sheet'!L31</f>
        <v>7706.3458366567756</v>
      </c>
    </row>
    <row r="27" spans="2:12" ht="15.6" thickBot="1" x14ac:dyDescent="0.3">
      <c r="B27" s="73" t="s">
        <v>74</v>
      </c>
      <c r="C27" s="82"/>
      <c r="D27" s="100">
        <f>'Balance Sheet'!E32-'Balance Sheet'!D32</f>
        <v>364</v>
      </c>
      <c r="E27" s="100">
        <f>'Balance Sheet'!F32-'Balance Sheet'!E32</f>
        <v>3433</v>
      </c>
      <c r="F27" s="100">
        <f>'Balance Sheet'!G32-'Balance Sheet'!F32</f>
        <v>-17937</v>
      </c>
      <c r="G27" s="140">
        <f>'Balance Sheet'!H32-'Balance Sheet'!G32</f>
        <v>112</v>
      </c>
      <c r="H27" s="100">
        <f>'Balance Sheet'!I32-'Balance Sheet'!H32</f>
        <v>15.806440173819738</v>
      </c>
      <c r="I27" s="100">
        <f>'Balance Sheet'!J32-'Balance Sheet'!I32</f>
        <v>14.403874878963592</v>
      </c>
      <c r="J27" s="100">
        <f>'Balance Sheet'!K32-'Balance Sheet'!J32</f>
        <v>29.445981168447219</v>
      </c>
      <c r="K27" s="100">
        <f>'Balance Sheet'!L32-'Balance Sheet'!K32</f>
        <v>29.913324063309233</v>
      </c>
      <c r="L27" s="100">
        <f>'Balance Sheet'!M32-'Balance Sheet'!L32</f>
        <v>35.248753703842283</v>
      </c>
    </row>
    <row r="28" spans="2:12" ht="15.6" x14ac:dyDescent="0.3">
      <c r="B28" s="88" t="s">
        <v>155</v>
      </c>
      <c r="D28" s="115">
        <f>SUM(D4:D27)</f>
        <v>50729</v>
      </c>
      <c r="E28" s="115">
        <f t="shared" ref="E28:L28" si="6">SUM(E4:E27)</f>
        <v>66554</v>
      </c>
      <c r="F28" s="115">
        <f t="shared" si="6"/>
        <v>100428</v>
      </c>
      <c r="G28" s="116">
        <f t="shared" si="6"/>
        <v>126997</v>
      </c>
      <c r="H28" s="115">
        <f t="shared" si="6"/>
        <v>109092.23101280624</v>
      </c>
      <c r="I28" s="115">
        <f t="shared" si="6"/>
        <v>141242.56138808906</v>
      </c>
      <c r="J28" s="115">
        <f t="shared" si="6"/>
        <v>172501.47844652168</v>
      </c>
      <c r="K28" s="115">
        <f t="shared" si="6"/>
        <v>211098.51469763479</v>
      </c>
      <c r="L28" s="115">
        <f t="shared" si="6"/>
        <v>227422.8580798296</v>
      </c>
    </row>
    <row r="29" spans="2:12" x14ac:dyDescent="0.25">
      <c r="G29" s="79"/>
    </row>
    <row r="30" spans="2:12" ht="15.6" x14ac:dyDescent="0.3">
      <c r="B30" s="88" t="s">
        <v>156</v>
      </c>
      <c r="G30" s="79"/>
    </row>
    <row r="31" spans="2:12" x14ac:dyDescent="0.25">
      <c r="B31" s="63" t="s">
        <v>158</v>
      </c>
      <c r="D31" s="93">
        <f>('Balance Sheet'!E11-'Balance Sheet'!D11)*-1</f>
        <v>-12348</v>
      </c>
      <c r="E31" s="93">
        <f>('Balance Sheet'!F11-'Balance Sheet'!E11)*-1</f>
        <v>-24441</v>
      </c>
      <c r="F31" s="93">
        <f>('Balance Sheet'!G11-'Balance Sheet'!F11)*-1</f>
        <v>-34661</v>
      </c>
      <c r="G31" s="137">
        <f>('Balance Sheet'!H11-'Balance Sheet'!G11)*-1</f>
        <v>-4628</v>
      </c>
      <c r="H31" s="93">
        <f>('Balance Sheet'!I11-'Balance Sheet'!H11)*-1</f>
        <v>-18052.46608862633</v>
      </c>
      <c r="I31" s="93">
        <f>('Balance Sheet'!J11-'Balance Sheet'!I11)*-1</f>
        <v>-26193.358725160302</v>
      </c>
      <c r="J31" s="93">
        <f>('Balance Sheet'!K11-'Balance Sheet'!J11)*-1</f>
        <v>-27660.135684630135</v>
      </c>
      <c r="K31" s="93">
        <f>('Balance Sheet'!L11-'Balance Sheet'!K11)*-1</f>
        <v>-31117.588040082454</v>
      </c>
      <c r="L31" s="93">
        <f>('Balance Sheet'!M11-'Balance Sheet'!L11)*-1</f>
        <v>-31704.370956827421</v>
      </c>
    </row>
    <row r="32" spans="2:12" ht="15.6" thickBot="1" x14ac:dyDescent="0.3">
      <c r="B32" s="82" t="s">
        <v>59</v>
      </c>
      <c r="C32" s="82"/>
      <c r="D32" s="100">
        <f>('Balance Sheet'!E13-'Balance Sheet'!D13)*-1</f>
        <v>-5637</v>
      </c>
      <c r="E32" s="100">
        <f>('Balance Sheet'!F13-'Balance Sheet'!E13)*-1</f>
        <v>-5194</v>
      </c>
      <c r="F32" s="100">
        <f>('Balance Sheet'!G13-'Balance Sheet'!F13)*-1</f>
        <v>-7010</v>
      </c>
      <c r="G32" s="140">
        <f>('Balance Sheet'!H13-'Balance Sheet'!G13)*-1</f>
        <v>-9157</v>
      </c>
      <c r="H32" s="100">
        <f>('Balance Sheet'!I13-'Balance Sheet'!H13)*-1</f>
        <v>0</v>
      </c>
      <c r="I32" s="100">
        <f>('Balance Sheet'!J13-'Balance Sheet'!I13)*-1</f>
        <v>0</v>
      </c>
      <c r="J32" s="100">
        <f>('Balance Sheet'!K13-'Balance Sheet'!J13)*-1</f>
        <v>0</v>
      </c>
      <c r="K32" s="100">
        <f>('Balance Sheet'!L13-'Balance Sheet'!K13)*-1</f>
        <v>0</v>
      </c>
      <c r="L32" s="100">
        <f>('Balance Sheet'!M13-'Balance Sheet'!L13)*-1</f>
        <v>0</v>
      </c>
    </row>
    <row r="33" spans="2:12" ht="15.6" x14ac:dyDescent="0.3">
      <c r="B33" s="88" t="s">
        <v>159</v>
      </c>
      <c r="D33" s="115">
        <f>SUM(D31:D32)</f>
        <v>-17985</v>
      </c>
      <c r="E33" s="115">
        <f t="shared" ref="E33:L33" si="7">SUM(E31:E32)</f>
        <v>-29635</v>
      </c>
      <c r="F33" s="115">
        <f t="shared" si="7"/>
        <v>-41671</v>
      </c>
      <c r="G33" s="116">
        <f t="shared" si="7"/>
        <v>-13785</v>
      </c>
      <c r="H33" s="115">
        <f t="shared" si="7"/>
        <v>-18052.46608862633</v>
      </c>
      <c r="I33" s="115">
        <f t="shared" si="7"/>
        <v>-26193.358725160302</v>
      </c>
      <c r="J33" s="115">
        <f t="shared" si="7"/>
        <v>-27660.135684630135</v>
      </c>
      <c r="K33" s="115">
        <f t="shared" si="7"/>
        <v>-31117.588040082454</v>
      </c>
      <c r="L33" s="115">
        <f t="shared" si="7"/>
        <v>-31704.370956827421</v>
      </c>
    </row>
    <row r="34" spans="2:12" x14ac:dyDescent="0.25">
      <c r="G34" s="79"/>
    </row>
    <row r="35" spans="2:12" ht="15.6" x14ac:dyDescent="0.3">
      <c r="B35" s="88" t="s">
        <v>160</v>
      </c>
      <c r="G35" s="79"/>
    </row>
    <row r="36" spans="2:12" x14ac:dyDescent="0.25">
      <c r="B36" s="70" t="s">
        <v>70</v>
      </c>
      <c r="D36" s="93">
        <f>'Balance Sheet'!E28-'Balance Sheet'!D28</f>
        <v>237452</v>
      </c>
      <c r="E36" s="93">
        <f>'Balance Sheet'!F28-'Balance Sheet'!E28</f>
        <v>5481</v>
      </c>
      <c r="F36" s="93">
        <f>'Balance Sheet'!G28-'Balance Sheet'!F28</f>
        <v>493874</v>
      </c>
      <c r="G36" s="137">
        <f>'Balance Sheet'!H28-'Balance Sheet'!G28</f>
        <v>2893</v>
      </c>
      <c r="H36" s="93">
        <f>'Balance Sheet'!I28-'Balance Sheet'!H28</f>
        <v>11831</v>
      </c>
      <c r="I36" s="93">
        <f>'Balance Sheet'!J28-'Balance Sheet'!I28</f>
        <v>0</v>
      </c>
      <c r="J36" s="93">
        <f>'Balance Sheet'!K28-'Balance Sheet'!J28</f>
        <v>0</v>
      </c>
      <c r="K36" s="93">
        <f>'Balance Sheet'!L28-'Balance Sheet'!K28</f>
        <v>0</v>
      </c>
      <c r="L36" s="93">
        <f>'Balance Sheet'!M28-'Balance Sheet'!L28</f>
        <v>0</v>
      </c>
    </row>
    <row r="37" spans="2:12" x14ac:dyDescent="0.25">
      <c r="B37" s="70" t="s">
        <v>75</v>
      </c>
      <c r="D37" s="93">
        <f>'Balance Sheet'!E36-'Balance Sheet'!D36</f>
        <v>1</v>
      </c>
      <c r="E37" s="93">
        <f>'Balance Sheet'!F36-'Balance Sheet'!E36</f>
        <v>-7</v>
      </c>
      <c r="F37" s="93">
        <f>'Balance Sheet'!G36-'Balance Sheet'!F36</f>
        <v>-6</v>
      </c>
      <c r="G37" s="137">
        <f>'Balance Sheet'!H36-'Balance Sheet'!G36</f>
        <v>-12</v>
      </c>
      <c r="H37" s="93">
        <f>'Balance Sheet'!I36-'Balance Sheet'!H36</f>
        <v>-12</v>
      </c>
      <c r="I37" s="93">
        <f>'Balance Sheet'!J36-'Balance Sheet'!I36</f>
        <v>-12</v>
      </c>
      <c r="J37" s="93">
        <f>'Balance Sheet'!K36-'Balance Sheet'!J36</f>
        <v>-12</v>
      </c>
      <c r="K37" s="93">
        <f>'Balance Sheet'!L36-'Balance Sheet'!K36</f>
        <v>-12</v>
      </c>
      <c r="L37" s="93">
        <f>'Balance Sheet'!M36-'Balance Sheet'!L36</f>
        <v>-12</v>
      </c>
    </row>
    <row r="38" spans="2:12" x14ac:dyDescent="0.25">
      <c r="B38" s="70" t="s">
        <v>76</v>
      </c>
      <c r="D38" s="93">
        <f>'Balance Sheet'!E37-'Balance Sheet'!D37</f>
        <v>2334</v>
      </c>
      <c r="E38" s="93">
        <f>'Balance Sheet'!F37-'Balance Sheet'!E37</f>
        <v>-121</v>
      </c>
      <c r="F38" s="93">
        <f>'Balance Sheet'!G37-'Balance Sheet'!F37</f>
        <v>-1108</v>
      </c>
      <c r="G38" s="137">
        <f>'Balance Sheet'!H37-'Balance Sheet'!G37</f>
        <v>-39</v>
      </c>
      <c r="H38" s="93">
        <f>'Balance Sheet'!I37-'Balance Sheet'!H37</f>
        <v>-1529</v>
      </c>
      <c r="I38" s="93">
        <f>'Balance Sheet'!J37-'Balance Sheet'!I37</f>
        <v>0</v>
      </c>
      <c r="J38" s="93">
        <f>'Balance Sheet'!K37-'Balance Sheet'!J37</f>
        <v>0</v>
      </c>
      <c r="K38" s="93">
        <f>'Balance Sheet'!L37-'Balance Sheet'!K37</f>
        <v>0</v>
      </c>
      <c r="L38" s="93">
        <f>'Balance Sheet'!M37-'Balance Sheet'!L37</f>
        <v>0</v>
      </c>
    </row>
    <row r="39" spans="2:12" x14ac:dyDescent="0.25">
      <c r="B39" s="70" t="s">
        <v>77</v>
      </c>
      <c r="D39" s="93">
        <f>'Balance Sheet'!E38-'Balance Sheet'!D38-D4</f>
        <v>-136237</v>
      </c>
      <c r="E39" s="93">
        <f>'Balance Sheet'!F38-'Balance Sheet'!E38-E4</f>
        <v>-136848</v>
      </c>
      <c r="F39" s="93">
        <f>'Balance Sheet'!G38-'Balance Sheet'!F38-F4</f>
        <v>-325663</v>
      </c>
      <c r="G39" s="137">
        <f>'Balance Sheet'!H38-'Balance Sheet'!G38-G4</f>
        <v>-242242</v>
      </c>
      <c r="H39" s="93">
        <f>'Balance Sheet'!I38-'Balance Sheet'!H38-H4</f>
        <v>-169156.80000000008</v>
      </c>
      <c r="I39" s="93">
        <f>'Balance Sheet'!J38-'Balance Sheet'!I38-I4</f>
        <v>-167572.79999999999</v>
      </c>
      <c r="J39" s="93">
        <f>'Balance Sheet'!K38-'Balance Sheet'!J38-J4</f>
        <v>-165988.80000000008</v>
      </c>
      <c r="K39" s="93">
        <f>'Balance Sheet'!L38-'Balance Sheet'!K38-K4</f>
        <v>-164404.80000000005</v>
      </c>
      <c r="L39" s="93">
        <f>'Balance Sheet'!M38-'Balance Sheet'!L38-L4</f>
        <v>-162820.80000000005</v>
      </c>
    </row>
    <row r="40" spans="2:12" ht="15.6" thickBot="1" x14ac:dyDescent="0.3">
      <c r="B40" s="73" t="s">
        <v>78</v>
      </c>
      <c r="C40" s="82"/>
      <c r="D40" s="100">
        <f>'Balance Sheet'!E39-'Balance Sheet'!D39</f>
        <v>-381</v>
      </c>
      <c r="E40" s="100">
        <f>'Balance Sheet'!F39-'Balance Sheet'!E39</f>
        <v>296</v>
      </c>
      <c r="F40" s="100">
        <f>'Balance Sheet'!G39-'Balance Sheet'!F39</f>
        <v>-160</v>
      </c>
      <c r="G40" s="140">
        <f>'Balance Sheet'!H39-'Balance Sheet'!G39</f>
        <v>6850</v>
      </c>
      <c r="H40" s="100">
        <f>'Balance Sheet'!I39-'Balance Sheet'!H39</f>
        <v>0</v>
      </c>
      <c r="I40" s="100">
        <f>'Balance Sheet'!J39-'Balance Sheet'!I39</f>
        <v>0</v>
      </c>
      <c r="J40" s="100">
        <f>'Balance Sheet'!K39-'Balance Sheet'!J39</f>
        <v>0</v>
      </c>
      <c r="K40" s="100">
        <f>'Balance Sheet'!L39-'Balance Sheet'!K39</f>
        <v>0</v>
      </c>
      <c r="L40" s="100">
        <f>'Balance Sheet'!M39-'Balance Sheet'!L39</f>
        <v>0</v>
      </c>
    </row>
    <row r="41" spans="2:12" ht="15.6" x14ac:dyDescent="0.3">
      <c r="B41" s="88" t="s">
        <v>161</v>
      </c>
      <c r="D41" s="115">
        <f>SUM(D36:D40)</f>
        <v>103169</v>
      </c>
      <c r="E41" s="115">
        <f t="shared" ref="E41:L41" si="8">SUM(E36:E40)</f>
        <v>-131199</v>
      </c>
      <c r="F41" s="115">
        <f t="shared" si="8"/>
        <v>166937</v>
      </c>
      <c r="G41" s="116">
        <f t="shared" si="8"/>
        <v>-232550</v>
      </c>
      <c r="H41" s="115">
        <f t="shared" si="8"/>
        <v>-158866.80000000008</v>
      </c>
      <c r="I41" s="115">
        <f t="shared" si="8"/>
        <v>-167584.79999999999</v>
      </c>
      <c r="J41" s="115">
        <f t="shared" si="8"/>
        <v>-166000.80000000008</v>
      </c>
      <c r="K41" s="115">
        <f t="shared" si="8"/>
        <v>-164416.80000000005</v>
      </c>
      <c r="L41" s="115">
        <f t="shared" si="8"/>
        <v>-162832.80000000005</v>
      </c>
    </row>
    <row r="42" spans="2:12" x14ac:dyDescent="0.25">
      <c r="G42" s="79"/>
    </row>
    <row r="43" spans="2:12" x14ac:dyDescent="0.25">
      <c r="B43" s="63" t="s">
        <v>162</v>
      </c>
      <c r="D43" s="93">
        <f>'Balance Sheet'!D5</f>
        <v>48583</v>
      </c>
      <c r="E43" s="93">
        <f>D45</f>
        <v>184496</v>
      </c>
      <c r="F43" s="93">
        <f t="shared" ref="F43:L43" si="9">E45</f>
        <v>90216</v>
      </c>
      <c r="G43" s="137">
        <f t="shared" si="9"/>
        <v>315910</v>
      </c>
      <c r="H43" s="93">
        <f t="shared" si="9"/>
        <v>196572</v>
      </c>
      <c r="I43" s="93">
        <f t="shared" si="9"/>
        <v>128744.96492417983</v>
      </c>
      <c r="J43" s="93">
        <f t="shared" si="9"/>
        <v>76209.367587108602</v>
      </c>
      <c r="K43" s="93">
        <f t="shared" si="9"/>
        <v>55049.910349000071</v>
      </c>
      <c r="L43" s="93">
        <f t="shared" si="9"/>
        <v>70614.03700655236</v>
      </c>
    </row>
    <row r="44" spans="2:12" ht="15.6" thickBot="1" x14ac:dyDescent="0.3">
      <c r="B44" s="82" t="s">
        <v>163</v>
      </c>
      <c r="C44" s="82"/>
      <c r="D44" s="100">
        <f>D41+D33+D28</f>
        <v>135913</v>
      </c>
      <c r="E44" s="100">
        <f t="shared" ref="E44:L44" si="10">E41+E33+E28</f>
        <v>-94280</v>
      </c>
      <c r="F44" s="100">
        <f t="shared" si="10"/>
        <v>225694</v>
      </c>
      <c r="G44" s="140">
        <f t="shared" si="10"/>
        <v>-119338</v>
      </c>
      <c r="H44" s="100">
        <f t="shared" si="10"/>
        <v>-67827.035075820168</v>
      </c>
      <c r="I44" s="100">
        <f t="shared" si="10"/>
        <v>-52535.597337071231</v>
      </c>
      <c r="J44" s="100">
        <f t="shared" si="10"/>
        <v>-21159.457238108531</v>
      </c>
      <c r="K44" s="100">
        <f t="shared" si="10"/>
        <v>15564.12665755229</v>
      </c>
      <c r="L44" s="100">
        <f t="shared" si="10"/>
        <v>32885.687123002135</v>
      </c>
    </row>
    <row r="45" spans="2:12" ht="15.6" x14ac:dyDescent="0.3">
      <c r="B45" s="88" t="s">
        <v>164</v>
      </c>
      <c r="D45" s="147">
        <f>D43+D44</f>
        <v>184496</v>
      </c>
      <c r="E45" s="147">
        <f t="shared" ref="E45:L45" si="11">E43+E44</f>
        <v>90216</v>
      </c>
      <c r="F45" s="147">
        <f t="shared" si="11"/>
        <v>315910</v>
      </c>
      <c r="G45" s="149">
        <f t="shared" si="11"/>
        <v>196572</v>
      </c>
      <c r="H45" s="147">
        <f t="shared" si="11"/>
        <v>128744.96492417983</v>
      </c>
      <c r="I45" s="147">
        <f t="shared" si="11"/>
        <v>76209.367587108602</v>
      </c>
      <c r="J45" s="147">
        <f t="shared" si="11"/>
        <v>55049.910349000071</v>
      </c>
      <c r="K45" s="147">
        <f t="shared" si="11"/>
        <v>70614.03700655236</v>
      </c>
      <c r="L45" s="147">
        <f t="shared" si="11"/>
        <v>103499.7241295545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15510-BFFF-4B12-9EF4-E2BA2F35D83B}">
  <dimension ref="B2:I37"/>
  <sheetViews>
    <sheetView showGridLines="0" zoomScale="79" workbookViewId="0">
      <selection activeCell="D9" sqref="D9"/>
    </sheetView>
  </sheetViews>
  <sheetFormatPr defaultRowHeight="15" x14ac:dyDescent="0.25"/>
  <cols>
    <col min="1" max="1" width="3.77734375" style="1" customWidth="1"/>
    <col min="2" max="2" width="30.44140625" style="1" customWidth="1"/>
    <col min="3" max="3" width="21.21875" style="1" customWidth="1"/>
    <col min="4" max="4" width="14.109375" style="1" bestFit="1" customWidth="1"/>
    <col min="5" max="5" width="10.109375" style="1" bestFit="1" customWidth="1"/>
    <col min="6" max="6" width="12.21875" style="1" bestFit="1" customWidth="1"/>
    <col min="7" max="7" width="11" style="1" bestFit="1" customWidth="1"/>
    <col min="8" max="8" width="9.5546875" style="1" bestFit="1" customWidth="1"/>
    <col min="9" max="9" width="11.109375" style="1" bestFit="1" customWidth="1"/>
    <col min="10" max="16384" width="8.88671875" style="1"/>
  </cols>
  <sheetData>
    <row r="2" spans="2:3" ht="15.6" x14ac:dyDescent="0.3">
      <c r="B2" s="335" t="s">
        <v>266</v>
      </c>
      <c r="C2" s="335"/>
    </row>
    <row r="3" spans="2:3" x14ac:dyDescent="0.25">
      <c r="B3" s="5" t="s">
        <v>165</v>
      </c>
      <c r="C3" s="154">
        <v>4.6980000000000001E-2</v>
      </c>
    </row>
    <row r="4" spans="2:3" x14ac:dyDescent="0.25">
      <c r="B4" s="6" t="s">
        <v>166</v>
      </c>
      <c r="C4" s="272">
        <f>'Beta Calculation'!D3</f>
        <v>1.2735484005754782</v>
      </c>
    </row>
    <row r="5" spans="2:3" x14ac:dyDescent="0.25">
      <c r="B5" s="6" t="s">
        <v>167</v>
      </c>
      <c r="C5" s="155">
        <v>4.1700000000000001E-2</v>
      </c>
    </row>
    <row r="6" spans="2:3" ht="15.6" x14ac:dyDescent="0.3">
      <c r="B6" s="153" t="s">
        <v>168</v>
      </c>
      <c r="C6" s="158">
        <f>C3+(C4*C5)</f>
        <v>0.10008696830399744</v>
      </c>
    </row>
    <row r="7" spans="2:3" x14ac:dyDescent="0.25">
      <c r="B7" s="6"/>
      <c r="C7" s="3"/>
    </row>
    <row r="8" spans="2:3" x14ac:dyDescent="0.25">
      <c r="B8" s="6" t="s">
        <v>169</v>
      </c>
      <c r="C8" s="139">
        <f>'Income Statement'!H15</f>
        <v>35784</v>
      </c>
    </row>
    <row r="9" spans="2:3" x14ac:dyDescent="0.25">
      <c r="B9" s="6" t="s">
        <v>170</v>
      </c>
      <c r="C9" s="139">
        <f>'Balance Sheet'!H28</f>
        <v>1209094</v>
      </c>
    </row>
    <row r="10" spans="2:3" x14ac:dyDescent="0.25">
      <c r="B10" s="6" t="s">
        <v>171</v>
      </c>
      <c r="C10" s="156">
        <f>'Income Statement'!H38</f>
        <v>0.26528211679293728</v>
      </c>
    </row>
    <row r="11" spans="2:3" ht="15.6" x14ac:dyDescent="0.3">
      <c r="B11" s="153" t="s">
        <v>172</v>
      </c>
      <c r="C11" s="158">
        <f>(C8/C9)*(1-C10)</f>
        <v>2.1744500206502995E-2</v>
      </c>
    </row>
    <row r="12" spans="2:3" x14ac:dyDescent="0.25">
      <c r="B12" s="6"/>
      <c r="C12" s="3"/>
    </row>
    <row r="13" spans="2:3" x14ac:dyDescent="0.25">
      <c r="B13" s="6" t="s">
        <v>173</v>
      </c>
      <c r="C13" s="54">
        <v>3084000</v>
      </c>
    </row>
    <row r="14" spans="2:3" x14ac:dyDescent="0.25">
      <c r="B14" s="6" t="s">
        <v>170</v>
      </c>
      <c r="C14" s="139">
        <f>C9</f>
        <v>1209094</v>
      </c>
    </row>
    <row r="15" spans="2:3" ht="15.6" x14ac:dyDescent="0.3">
      <c r="B15" s="153" t="s">
        <v>174</v>
      </c>
      <c r="C15" s="159">
        <f>C13+C14</f>
        <v>4293094</v>
      </c>
    </row>
    <row r="16" spans="2:3" x14ac:dyDescent="0.25">
      <c r="B16" s="6"/>
      <c r="C16" s="3"/>
    </row>
    <row r="17" spans="2:9" x14ac:dyDescent="0.25">
      <c r="B17" s="6" t="s">
        <v>175</v>
      </c>
      <c r="C17" s="35">
        <f>C13/C15</f>
        <v>0.71836302675878982</v>
      </c>
    </row>
    <row r="18" spans="2:9" x14ac:dyDescent="0.25">
      <c r="B18" s="7" t="s">
        <v>176</v>
      </c>
      <c r="C18" s="37">
        <f>C14/C15</f>
        <v>0.28163697324121018</v>
      </c>
    </row>
    <row r="19" spans="2:9" ht="15.6" x14ac:dyDescent="0.3">
      <c r="B19" s="152" t="s">
        <v>7</v>
      </c>
      <c r="C19" s="160">
        <f>(C6*C17)+(C11*C18)</f>
        <v>7.8022832712773035E-2</v>
      </c>
    </row>
    <row r="21" spans="2:9" ht="15.6" x14ac:dyDescent="0.3">
      <c r="B21"/>
      <c r="C21"/>
      <c r="D21"/>
      <c r="E21"/>
      <c r="F21"/>
      <c r="G21"/>
      <c r="H21"/>
      <c r="I21"/>
    </row>
    <row r="22" spans="2:9" ht="15.6" x14ac:dyDescent="0.3">
      <c r="B22"/>
      <c r="C22"/>
      <c r="D22"/>
      <c r="E22"/>
      <c r="F22"/>
      <c r="G22"/>
      <c r="H22"/>
      <c r="I22"/>
    </row>
    <row r="23" spans="2:9" ht="15.6" x14ac:dyDescent="0.3">
      <c r="B23"/>
      <c r="C23"/>
      <c r="D23"/>
      <c r="E23"/>
      <c r="F23"/>
      <c r="G23"/>
      <c r="H23"/>
      <c r="I23"/>
    </row>
    <row r="24" spans="2:9" ht="15.6" x14ac:dyDescent="0.3">
      <c r="B24"/>
      <c r="C24"/>
      <c r="D24"/>
      <c r="E24"/>
      <c r="F24"/>
      <c r="G24"/>
      <c r="H24"/>
      <c r="I24"/>
    </row>
    <row r="25" spans="2:9" ht="15.6" x14ac:dyDescent="0.3">
      <c r="B25"/>
      <c r="C25"/>
      <c r="D25"/>
      <c r="E25"/>
      <c r="F25"/>
      <c r="G25"/>
      <c r="H25"/>
      <c r="I25"/>
    </row>
    <row r="26" spans="2:9" ht="15.6" x14ac:dyDescent="0.3">
      <c r="B26"/>
      <c r="C26"/>
      <c r="D26"/>
      <c r="E26"/>
      <c r="F26"/>
      <c r="G26"/>
      <c r="H26"/>
      <c r="I26"/>
    </row>
    <row r="27" spans="2:9" ht="15.6" x14ac:dyDescent="0.3">
      <c r="B27"/>
      <c r="C27"/>
      <c r="D27"/>
      <c r="E27"/>
      <c r="F27"/>
      <c r="G27"/>
      <c r="H27"/>
      <c r="I27"/>
    </row>
    <row r="28" spans="2:9" ht="15.6" x14ac:dyDescent="0.3">
      <c r="B28"/>
      <c r="C28"/>
      <c r="D28"/>
      <c r="E28"/>
      <c r="F28"/>
      <c r="G28"/>
      <c r="H28"/>
      <c r="I28"/>
    </row>
    <row r="29" spans="2:9" ht="15.6" x14ac:dyDescent="0.3">
      <c r="B29"/>
      <c r="C29"/>
      <c r="D29"/>
      <c r="E29"/>
      <c r="F29"/>
      <c r="G29"/>
      <c r="H29"/>
      <c r="I29"/>
    </row>
    <row r="30" spans="2:9" ht="15.6" x14ac:dyDescent="0.3">
      <c r="B30"/>
      <c r="C30"/>
      <c r="D30"/>
      <c r="E30"/>
      <c r="F30"/>
      <c r="G30"/>
      <c r="H30"/>
      <c r="I30"/>
    </row>
    <row r="31" spans="2:9" ht="15.6" x14ac:dyDescent="0.3">
      <c r="B31"/>
      <c r="C31"/>
      <c r="D31"/>
      <c r="E31"/>
      <c r="F31"/>
      <c r="G31"/>
      <c r="H31"/>
      <c r="I31"/>
    </row>
    <row r="32" spans="2:9" ht="15.6" x14ac:dyDescent="0.3">
      <c r="B32"/>
      <c r="C32"/>
      <c r="D32"/>
      <c r="E32"/>
      <c r="F32"/>
      <c r="G32"/>
      <c r="H32"/>
      <c r="I32"/>
    </row>
    <row r="33" spans="2:9" ht="15.6" x14ac:dyDescent="0.3">
      <c r="B33"/>
      <c r="C33"/>
      <c r="D33"/>
      <c r="E33"/>
      <c r="F33"/>
      <c r="G33"/>
      <c r="H33"/>
      <c r="I33"/>
    </row>
    <row r="34" spans="2:9" ht="15.6" x14ac:dyDescent="0.3">
      <c r="B34"/>
      <c r="C34"/>
      <c r="D34"/>
      <c r="E34"/>
      <c r="F34"/>
      <c r="G34"/>
      <c r="H34"/>
      <c r="I34"/>
    </row>
    <row r="35" spans="2:9" ht="15.6" x14ac:dyDescent="0.3">
      <c r="B35"/>
      <c r="C35"/>
      <c r="D35"/>
      <c r="E35"/>
      <c r="F35"/>
      <c r="G35"/>
      <c r="H35"/>
      <c r="I35"/>
    </row>
    <row r="36" spans="2:9" x14ac:dyDescent="0.25">
      <c r="B36" s="265"/>
      <c r="C36" s="266"/>
      <c r="D36" s="265"/>
      <c r="E36" s="266"/>
      <c r="F36" s="265"/>
      <c r="G36" s="265"/>
      <c r="H36" s="266"/>
      <c r="I36" s="267"/>
    </row>
    <row r="37" spans="2:9" x14ac:dyDescent="0.25">
      <c r="B37" s="271"/>
      <c r="C37" s="270"/>
      <c r="D37" s="271"/>
      <c r="E37" s="270"/>
      <c r="F37" s="265"/>
      <c r="G37" s="268"/>
      <c r="H37" s="269"/>
      <c r="I37" s="267"/>
    </row>
  </sheetData>
  <mergeCells count="1">
    <mergeCell ref="B2:C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B9F7A-0023-4A3D-B229-40F2ACD34D63}">
  <dimension ref="B2:I50"/>
  <sheetViews>
    <sheetView showGridLines="0" topLeftCell="B12" zoomScale="63" workbookViewId="0">
      <selection activeCell="B31" sqref="B31:F50"/>
    </sheetView>
  </sheetViews>
  <sheetFormatPr defaultRowHeight="15" x14ac:dyDescent="0.25"/>
  <cols>
    <col min="1" max="1" width="3.77734375" style="1" customWidth="1"/>
    <col min="2" max="2" width="70.5546875" style="1" customWidth="1"/>
    <col min="3" max="3" width="23.6640625" style="1" customWidth="1"/>
    <col min="4" max="4" width="28.77734375" style="1" customWidth="1"/>
    <col min="5" max="5" width="32.77734375" style="1" customWidth="1"/>
    <col min="6" max="6" width="30.33203125" style="1" customWidth="1"/>
    <col min="7" max="9" width="29.21875" style="1" customWidth="1"/>
    <col min="10" max="16384" width="8.88671875" style="1"/>
  </cols>
  <sheetData>
    <row r="2" spans="2:9" ht="15.6" x14ac:dyDescent="0.3">
      <c r="B2" s="11" t="s">
        <v>277</v>
      </c>
      <c r="C2" s="11"/>
      <c r="D2" s="11"/>
      <c r="E2" s="11"/>
      <c r="F2" s="11"/>
      <c r="G2" s="11"/>
    </row>
    <row r="4" spans="2:9" ht="31.2" x14ac:dyDescent="0.25">
      <c r="B4" s="163" t="s">
        <v>177</v>
      </c>
      <c r="C4" s="191" t="s">
        <v>178</v>
      </c>
      <c r="D4" s="191" t="s">
        <v>179</v>
      </c>
      <c r="E4" s="191" t="s">
        <v>194</v>
      </c>
      <c r="F4" s="191" t="s">
        <v>195</v>
      </c>
      <c r="G4" s="191" t="s">
        <v>276</v>
      </c>
      <c r="H4" s="191" t="s">
        <v>229</v>
      </c>
      <c r="I4" s="191" t="s">
        <v>235</v>
      </c>
    </row>
    <row r="5" spans="2:9" ht="15.6" x14ac:dyDescent="0.25">
      <c r="B5" s="185" t="s">
        <v>180</v>
      </c>
      <c r="C5" s="186">
        <v>7168.7</v>
      </c>
      <c r="D5" s="186">
        <v>7264.2</v>
      </c>
      <c r="E5" s="187">
        <v>5.6</v>
      </c>
      <c r="F5" s="187">
        <v>43.09</v>
      </c>
      <c r="G5" s="188">
        <v>118.42</v>
      </c>
      <c r="H5" s="197">
        <v>4.01</v>
      </c>
      <c r="I5" s="198" t="s">
        <v>16</v>
      </c>
    </row>
    <row r="6" spans="2:9" ht="15.6" x14ac:dyDescent="0.25">
      <c r="B6" s="185" t="s">
        <v>181</v>
      </c>
      <c r="C6" s="186">
        <v>7075</v>
      </c>
      <c r="D6" s="186">
        <v>8190.6</v>
      </c>
      <c r="E6" s="187">
        <v>4.4000000000000004</v>
      </c>
      <c r="F6" s="187">
        <v>30.91</v>
      </c>
      <c r="G6" s="188">
        <v>71.010000000000005</v>
      </c>
      <c r="H6" s="197">
        <v>1.61</v>
      </c>
      <c r="I6" s="198" t="s">
        <v>16</v>
      </c>
    </row>
    <row r="7" spans="2:9" ht="15.6" x14ac:dyDescent="0.25">
      <c r="B7" s="185" t="s">
        <v>182</v>
      </c>
      <c r="C7" s="186">
        <v>1391.9</v>
      </c>
      <c r="D7" s="186">
        <v>5123.2</v>
      </c>
      <c r="E7" s="187">
        <v>2.2999999999999998</v>
      </c>
      <c r="F7" s="187">
        <v>10.49</v>
      </c>
      <c r="G7" s="188">
        <v>13.11</v>
      </c>
      <c r="H7" s="197" t="s">
        <v>16</v>
      </c>
      <c r="I7" s="199">
        <v>3.7699999999999997E-2</v>
      </c>
    </row>
    <row r="8" spans="2:9" ht="15.6" x14ac:dyDescent="0.25">
      <c r="B8" s="164" t="s">
        <v>183</v>
      </c>
      <c r="C8" s="182">
        <v>453.5</v>
      </c>
      <c r="D8" s="182">
        <v>2045.3</v>
      </c>
      <c r="E8" s="183">
        <v>2.2999999999999998</v>
      </c>
      <c r="F8" s="183">
        <v>11.6</v>
      </c>
      <c r="G8" s="184">
        <v>58.9</v>
      </c>
      <c r="H8" s="194" t="s">
        <v>16</v>
      </c>
      <c r="I8" s="195">
        <v>2.1299999999999999E-2</v>
      </c>
    </row>
    <row r="9" spans="2:9" ht="15.6" x14ac:dyDescent="0.25">
      <c r="B9" s="164" t="s">
        <v>184</v>
      </c>
      <c r="C9" s="182">
        <v>9758.7000000000007</v>
      </c>
      <c r="D9" s="182">
        <v>11449.6</v>
      </c>
      <c r="E9" s="183">
        <v>2</v>
      </c>
      <c r="F9" s="183">
        <v>10.5</v>
      </c>
      <c r="G9" s="184">
        <v>22.62</v>
      </c>
      <c r="H9" s="194">
        <v>0.82</v>
      </c>
      <c r="I9" s="125" t="s">
        <v>16</v>
      </c>
    </row>
    <row r="10" spans="2:9" ht="15.6" x14ac:dyDescent="0.25">
      <c r="B10" s="185" t="s">
        <v>185</v>
      </c>
      <c r="C10" s="186">
        <v>340.3</v>
      </c>
      <c r="D10" s="186">
        <v>2907.4</v>
      </c>
      <c r="E10" s="187">
        <v>2</v>
      </c>
      <c r="F10" s="187">
        <v>13.7</v>
      </c>
      <c r="G10" s="188">
        <v>9.0500000000000007</v>
      </c>
      <c r="H10" s="197" t="s">
        <v>16</v>
      </c>
      <c r="I10" s="198" t="s">
        <v>16</v>
      </c>
    </row>
    <row r="11" spans="2:9" ht="15.6" x14ac:dyDescent="0.25">
      <c r="B11" s="164" t="s">
        <v>186</v>
      </c>
      <c r="C11" s="182">
        <v>5532.9</v>
      </c>
      <c r="D11" s="182">
        <v>7418.7</v>
      </c>
      <c r="E11" s="183">
        <v>1.9</v>
      </c>
      <c r="F11" s="183">
        <v>23.26</v>
      </c>
      <c r="G11" s="184">
        <v>30.52</v>
      </c>
      <c r="H11" s="194">
        <v>1.42</v>
      </c>
      <c r="I11" s="196">
        <v>0.02</v>
      </c>
    </row>
    <row r="12" spans="2:9" ht="15.6" x14ac:dyDescent="0.25">
      <c r="B12" s="185" t="s">
        <v>187</v>
      </c>
      <c r="C12" s="186">
        <v>785.2</v>
      </c>
      <c r="D12" s="186">
        <v>1703.8</v>
      </c>
      <c r="E12" s="187">
        <v>0.9</v>
      </c>
      <c r="F12" s="187">
        <v>9.58</v>
      </c>
      <c r="G12" s="188">
        <v>30.54</v>
      </c>
      <c r="H12" s="197">
        <v>3.65</v>
      </c>
      <c r="I12" s="199">
        <v>7.7200000000000005E-2</v>
      </c>
    </row>
    <row r="13" spans="2:9" ht="15.6" x14ac:dyDescent="0.25">
      <c r="B13" s="164" t="s">
        <v>188</v>
      </c>
      <c r="C13" s="182">
        <v>24865.599999999999</v>
      </c>
      <c r="D13" s="182">
        <v>32692.6</v>
      </c>
      <c r="E13" s="183">
        <v>2.5</v>
      </c>
      <c r="F13" s="183">
        <v>14.43</v>
      </c>
      <c r="G13" s="184">
        <v>21.78</v>
      </c>
      <c r="H13" s="194">
        <v>2.13</v>
      </c>
      <c r="I13" s="195">
        <v>2.92E-2</v>
      </c>
    </row>
    <row r="14" spans="2:9" ht="15.6" x14ac:dyDescent="0.25">
      <c r="B14" s="185" t="s">
        <v>189</v>
      </c>
      <c r="C14" s="186">
        <v>11507.5</v>
      </c>
      <c r="D14" s="186">
        <v>16465.5</v>
      </c>
      <c r="E14" s="187">
        <v>3.3</v>
      </c>
      <c r="F14" s="187">
        <v>15.65</v>
      </c>
      <c r="G14" s="188">
        <v>19.88</v>
      </c>
      <c r="H14" s="197">
        <v>1.48</v>
      </c>
      <c r="I14" s="199">
        <v>2.4400000000000002E-2</v>
      </c>
    </row>
    <row r="15" spans="2:9" ht="15.6" x14ac:dyDescent="0.25">
      <c r="B15" s="185" t="s">
        <v>190</v>
      </c>
      <c r="C15" s="186">
        <v>13617.9</v>
      </c>
      <c r="D15" s="186">
        <v>14524.2</v>
      </c>
      <c r="E15" s="187">
        <v>2.2999999999999998</v>
      </c>
      <c r="F15" s="187">
        <v>20.56</v>
      </c>
      <c r="G15" s="188">
        <v>34.270000000000003</v>
      </c>
      <c r="H15" s="197">
        <v>1.71</v>
      </c>
      <c r="I15" s="199">
        <v>1.72E-2</v>
      </c>
    </row>
    <row r="16" spans="2:9" ht="15.6" x14ac:dyDescent="0.25">
      <c r="B16" s="164" t="s">
        <v>191</v>
      </c>
      <c r="C16" s="182">
        <v>943.5</v>
      </c>
      <c r="D16" s="182">
        <v>2802.6</v>
      </c>
      <c r="E16" s="183">
        <v>0.7</v>
      </c>
      <c r="F16" s="183">
        <v>5.7</v>
      </c>
      <c r="G16" s="184">
        <v>35.97</v>
      </c>
      <c r="H16" s="194" t="s">
        <v>16</v>
      </c>
      <c r="I16" s="195">
        <v>1.35E-2</v>
      </c>
    </row>
    <row r="17" spans="2:9" ht="15.6" x14ac:dyDescent="0.25">
      <c r="B17" s="185" t="s">
        <v>192</v>
      </c>
      <c r="C17" s="186">
        <v>2887.2</v>
      </c>
      <c r="D17" s="186">
        <v>3558.5</v>
      </c>
      <c r="E17" s="187">
        <v>2.2999999999999998</v>
      </c>
      <c r="F17" s="187">
        <v>20.29</v>
      </c>
      <c r="G17" s="188">
        <v>76.709999999999994</v>
      </c>
      <c r="H17" s="197">
        <v>2.46</v>
      </c>
      <c r="I17" s="199" t="s">
        <v>16</v>
      </c>
    </row>
    <row r="18" spans="2:9" ht="15.6" x14ac:dyDescent="0.25">
      <c r="B18" s="165" t="s">
        <v>193</v>
      </c>
      <c r="C18" s="166">
        <v>3201.5</v>
      </c>
      <c r="D18" s="166">
        <v>4346.6000000000004</v>
      </c>
      <c r="E18" s="167">
        <v>6</v>
      </c>
      <c r="F18" s="167">
        <v>19.149999999999999</v>
      </c>
      <c r="G18" s="168">
        <v>26.55</v>
      </c>
      <c r="H18" s="200">
        <v>1.32</v>
      </c>
      <c r="I18" s="201">
        <v>1.14E-2</v>
      </c>
    </row>
    <row r="20" spans="2:9" ht="15.6" x14ac:dyDescent="0.3">
      <c r="B20" s="8" t="s">
        <v>196</v>
      </c>
      <c r="C20" s="189">
        <f>AVERAGE(C5:C18)</f>
        <v>6394.9571428571426</v>
      </c>
      <c r="D20" s="189">
        <f>AVERAGE(D5:D18)</f>
        <v>8606.6285714285714</v>
      </c>
      <c r="E20" s="190">
        <f>AVERAGE(E5:E18)</f>
        <v>2.75</v>
      </c>
      <c r="F20" s="190">
        <f>AVERAGE(F5:F18)</f>
        <v>17.779285714285713</v>
      </c>
      <c r="G20" s="190">
        <f>AVERAGE(G5:G18)</f>
        <v>40.666428571428575</v>
      </c>
      <c r="H20" s="190">
        <f t="shared" ref="H20:I20" si="0">AVERAGE(H5:H18)</f>
        <v>2.0610000000000004</v>
      </c>
      <c r="I20" s="202">
        <f t="shared" si="0"/>
        <v>2.798888888888889E-2</v>
      </c>
    </row>
    <row r="21" spans="2:9" x14ac:dyDescent="0.25">
      <c r="B21" s="1" t="s">
        <v>197</v>
      </c>
      <c r="C21" s="169">
        <f>MEDIAN(C5:C18)</f>
        <v>4367.2</v>
      </c>
      <c r="D21" s="169">
        <f>MEDIAN(D5:D18)</f>
        <v>6193.7</v>
      </c>
      <c r="E21" s="170">
        <f>MEDIAN(E5:E18)</f>
        <v>2.2999999999999998</v>
      </c>
      <c r="F21" s="170">
        <f>MEDIAN(F5:F18)</f>
        <v>15.04</v>
      </c>
      <c r="G21" s="170">
        <f>MEDIAN(G5:G18)</f>
        <v>30.53</v>
      </c>
      <c r="H21" s="170">
        <f t="shared" ref="H21:I21" si="1">MEDIAN(H5:H18)</f>
        <v>1.6600000000000001</v>
      </c>
      <c r="I21" s="34">
        <f t="shared" si="1"/>
        <v>2.1299999999999999E-2</v>
      </c>
    </row>
    <row r="22" spans="2:9" x14ac:dyDescent="0.25">
      <c r="B22" s="1" t="s">
        <v>198</v>
      </c>
      <c r="C22" s="169">
        <f>MAX(C5:C18)</f>
        <v>24865.599999999999</v>
      </c>
      <c r="D22" s="169">
        <f>MAX(D5:D18)</f>
        <v>32692.6</v>
      </c>
      <c r="E22" s="170">
        <f>MAX(E5:E18)</f>
        <v>6</v>
      </c>
      <c r="F22" s="170">
        <f>MAX(F5:F18)</f>
        <v>43.09</v>
      </c>
      <c r="G22" s="170">
        <f>MAX(G5:G18)</f>
        <v>118.42</v>
      </c>
      <c r="H22" s="170">
        <f t="shared" ref="H22:I22" si="2">MAX(H5:H18)</f>
        <v>4.01</v>
      </c>
      <c r="I22" s="34">
        <f t="shared" si="2"/>
        <v>7.7200000000000005E-2</v>
      </c>
    </row>
    <row r="23" spans="2:9" x14ac:dyDescent="0.25">
      <c r="B23" s="1" t="s">
        <v>199</v>
      </c>
      <c r="C23" s="169">
        <f>MIN(C5:C18)</f>
        <v>340.3</v>
      </c>
      <c r="D23" s="169">
        <f t="shared" ref="D23:G23" si="3">MIN(D5:D18)</f>
        <v>1703.8</v>
      </c>
      <c r="E23" s="170">
        <f t="shared" si="3"/>
        <v>0.7</v>
      </c>
      <c r="F23" s="170">
        <f t="shared" si="3"/>
        <v>5.7</v>
      </c>
      <c r="G23" s="170">
        <f t="shared" si="3"/>
        <v>9.0500000000000007</v>
      </c>
      <c r="H23" s="170">
        <f t="shared" ref="H23:I23" si="4">MIN(H5:H18)</f>
        <v>0.82</v>
      </c>
      <c r="I23" s="34">
        <f t="shared" si="4"/>
        <v>1.14E-2</v>
      </c>
    </row>
    <row r="24" spans="2:9" x14ac:dyDescent="0.25">
      <c r="I24" s="34"/>
    </row>
    <row r="25" spans="2:9" ht="15.6" x14ac:dyDescent="0.3">
      <c r="B25" s="8" t="s">
        <v>200</v>
      </c>
      <c r="I25" s="34"/>
    </row>
    <row r="26" spans="2:9" ht="15.6" x14ac:dyDescent="0.3">
      <c r="B26" s="8" t="s">
        <v>196</v>
      </c>
      <c r="C26" s="189">
        <f t="shared" ref="C26:I26" si="5">AVERAGE(C18,C17,C14:C15,C12,C10,C5:C7)</f>
        <v>5330.5777777777776</v>
      </c>
      <c r="D26" s="189">
        <f t="shared" si="5"/>
        <v>7120.4444444444443</v>
      </c>
      <c r="E26" s="190">
        <f t="shared" si="5"/>
        <v>3.2333333333333338</v>
      </c>
      <c r="F26" s="190">
        <f t="shared" si="5"/>
        <v>20.38</v>
      </c>
      <c r="G26" s="190">
        <f>AVERAGE(G18,G17,G14:G15,G12,G10,G6:G7)</f>
        <v>35.14</v>
      </c>
      <c r="H26" s="190">
        <f t="shared" si="5"/>
        <v>2.3199999999999998</v>
      </c>
      <c r="I26" s="202">
        <f t="shared" si="5"/>
        <v>3.3579999999999999E-2</v>
      </c>
    </row>
    <row r="27" spans="2:9" x14ac:dyDescent="0.25">
      <c r="B27" s="1" t="s">
        <v>197</v>
      </c>
      <c r="C27" s="169">
        <f t="shared" ref="C27:I27" si="6">MEDIAN(C17:C18,C14:C15,C12,C10,C5:C7)</f>
        <v>3201.5</v>
      </c>
      <c r="D27" s="169">
        <f t="shared" si="6"/>
        <v>5123.2</v>
      </c>
      <c r="E27" s="170">
        <f t="shared" si="6"/>
        <v>2.2999999999999998</v>
      </c>
      <c r="F27" s="170">
        <f t="shared" si="6"/>
        <v>19.149999999999999</v>
      </c>
      <c r="G27" s="170">
        <f t="shared" si="6"/>
        <v>30.54</v>
      </c>
      <c r="H27" s="170">
        <f t="shared" si="6"/>
        <v>1.71</v>
      </c>
      <c r="I27" s="34">
        <f t="shared" si="6"/>
        <v>2.4400000000000002E-2</v>
      </c>
    </row>
    <row r="28" spans="2:9" x14ac:dyDescent="0.25">
      <c r="B28" s="1" t="s">
        <v>198</v>
      </c>
      <c r="C28" s="169">
        <f t="shared" ref="C28:I28" si="7">MAX(C17:C18,C14:C15,C12,C10,C5:C7)</f>
        <v>13617.9</v>
      </c>
      <c r="D28" s="169">
        <f t="shared" si="7"/>
        <v>16465.5</v>
      </c>
      <c r="E28" s="170">
        <f t="shared" si="7"/>
        <v>6</v>
      </c>
      <c r="F28" s="170">
        <f t="shared" si="7"/>
        <v>43.09</v>
      </c>
      <c r="G28" s="170">
        <f t="shared" si="7"/>
        <v>118.42</v>
      </c>
      <c r="H28" s="170">
        <f t="shared" si="7"/>
        <v>4.01</v>
      </c>
      <c r="I28" s="34">
        <f t="shared" si="7"/>
        <v>7.7200000000000005E-2</v>
      </c>
    </row>
    <row r="29" spans="2:9" x14ac:dyDescent="0.25">
      <c r="B29" s="1" t="s">
        <v>199</v>
      </c>
      <c r="C29" s="169">
        <f t="shared" ref="C29:I29" si="8">MIN(C17:C18,C14:C15,C12,C10,C5:C7)</f>
        <v>340.3</v>
      </c>
      <c r="D29" s="169">
        <f t="shared" si="8"/>
        <v>1703.8</v>
      </c>
      <c r="E29" s="170">
        <f t="shared" si="8"/>
        <v>0.9</v>
      </c>
      <c r="F29" s="170">
        <f t="shared" si="8"/>
        <v>9.58</v>
      </c>
      <c r="G29" s="170">
        <f t="shared" si="8"/>
        <v>9.0500000000000007</v>
      </c>
      <c r="H29" s="170">
        <f t="shared" si="8"/>
        <v>1.32</v>
      </c>
      <c r="I29" s="34">
        <f t="shared" si="8"/>
        <v>1.14E-2</v>
      </c>
    </row>
    <row r="31" spans="2:9" ht="16.2" thickBot="1" x14ac:dyDescent="0.35">
      <c r="B31" s="192" t="s">
        <v>201</v>
      </c>
      <c r="C31" s="17"/>
      <c r="D31" s="17"/>
      <c r="E31" s="17"/>
    </row>
    <row r="32" spans="2:9" ht="16.2" thickBot="1" x14ac:dyDescent="0.35">
      <c r="B32" s="56"/>
      <c r="C32" s="193" t="s">
        <v>22</v>
      </c>
      <c r="D32" s="193" t="s">
        <v>23</v>
      </c>
      <c r="E32" s="193" t="s">
        <v>24</v>
      </c>
    </row>
    <row r="33" spans="2:6" x14ac:dyDescent="0.25">
      <c r="B33" s="1" t="s">
        <v>202</v>
      </c>
      <c r="C33" s="171">
        <f>D33-F33</f>
        <v>33.14</v>
      </c>
      <c r="D33" s="172">
        <f>G26</f>
        <v>35.14</v>
      </c>
      <c r="E33" s="171">
        <f>D33+F33</f>
        <v>37.14</v>
      </c>
      <c r="F33" s="203">
        <v>2</v>
      </c>
    </row>
    <row r="34" spans="2:6" x14ac:dyDescent="0.25">
      <c r="B34" s="1" t="s">
        <v>278</v>
      </c>
      <c r="C34" s="293">
        <v>4.93</v>
      </c>
      <c r="D34" s="293">
        <f>'Income Statement'!$I$28</f>
        <v>4.9846088323635298</v>
      </c>
      <c r="E34" s="293">
        <v>5.04</v>
      </c>
    </row>
    <row r="35" spans="2:6" ht="15.6" x14ac:dyDescent="0.3">
      <c r="B35" s="8" t="s">
        <v>205</v>
      </c>
      <c r="C35" s="213">
        <f>C33*C34</f>
        <v>163.3802</v>
      </c>
      <c r="D35" s="213">
        <f t="shared" ref="D35:E35" si="9">D33*D34</f>
        <v>175.15915436925445</v>
      </c>
      <c r="E35" s="213">
        <f t="shared" si="9"/>
        <v>187.18559999999999</v>
      </c>
    </row>
    <row r="36" spans="2:6" x14ac:dyDescent="0.25">
      <c r="B36" s="1" t="s">
        <v>206</v>
      </c>
      <c r="C36" s="284">
        <f>Cover!$C$24</f>
        <v>114.55</v>
      </c>
      <c r="D36" s="284">
        <f>Cover!$C$24</f>
        <v>114.55</v>
      </c>
      <c r="E36" s="284">
        <f>Cover!$C$24</f>
        <v>114.55</v>
      </c>
    </row>
    <row r="37" spans="2:6" ht="15.6" x14ac:dyDescent="0.3">
      <c r="B37" s="8" t="s">
        <v>207</v>
      </c>
      <c r="C37" s="214">
        <f>C35/C36-1</f>
        <v>0.42627848101265831</v>
      </c>
      <c r="D37" s="214">
        <f t="shared" ref="D37" si="10">D35/D36-1</f>
        <v>0.52910654185294148</v>
      </c>
      <c r="E37" s="214">
        <f t="shared" ref="E37" si="11">E35/E36-1</f>
        <v>0.63409515495416846</v>
      </c>
    </row>
    <row r="39" spans="2:6" ht="16.2" thickBot="1" x14ac:dyDescent="0.35">
      <c r="B39" s="192" t="s">
        <v>230</v>
      </c>
      <c r="C39" s="17"/>
      <c r="D39" s="17"/>
      <c r="E39" s="17"/>
    </row>
    <row r="40" spans="2:6" ht="16.2" thickBot="1" x14ac:dyDescent="0.35">
      <c r="B40" s="56"/>
      <c r="C40" s="193" t="s">
        <v>22</v>
      </c>
      <c r="D40" s="193" t="s">
        <v>23</v>
      </c>
      <c r="E40" s="193" t="s">
        <v>24</v>
      </c>
    </row>
    <row r="41" spans="2:6" x14ac:dyDescent="0.25">
      <c r="B41" s="1" t="s">
        <v>231</v>
      </c>
      <c r="C41" s="171">
        <f>D41-F41</f>
        <v>18.38</v>
      </c>
      <c r="D41" s="172">
        <f>F26</f>
        <v>20.38</v>
      </c>
      <c r="E41" s="171">
        <f>D41+F41</f>
        <v>22.38</v>
      </c>
      <c r="F41" s="203">
        <v>2</v>
      </c>
    </row>
    <row r="42" spans="2:6" x14ac:dyDescent="0.25">
      <c r="B42" s="1" t="s">
        <v>279</v>
      </c>
      <c r="C42" s="212">
        <v>255391</v>
      </c>
      <c r="D42" s="212">
        <v>257748</v>
      </c>
      <c r="E42" s="212">
        <v>260105</v>
      </c>
    </row>
    <row r="43" spans="2:6" x14ac:dyDescent="0.25">
      <c r="B43" s="1" t="s">
        <v>232</v>
      </c>
      <c r="C43" s="210">
        <f>C41*C42</f>
        <v>4694086.58</v>
      </c>
      <c r="D43" s="210">
        <f t="shared" ref="D43:E43" si="12">D41*D42</f>
        <v>5252904.2399999993</v>
      </c>
      <c r="E43" s="210">
        <f t="shared" si="12"/>
        <v>5821149.8999999994</v>
      </c>
    </row>
    <row r="44" spans="2:6" x14ac:dyDescent="0.25">
      <c r="B44" s="1" t="s">
        <v>233</v>
      </c>
      <c r="C44" s="211">
        <f>'Balance Sheet'!H28</f>
        <v>1209094</v>
      </c>
      <c r="D44" s="211">
        <f>C44</f>
        <v>1209094</v>
      </c>
      <c r="E44" s="211">
        <f>D44</f>
        <v>1209094</v>
      </c>
    </row>
    <row r="45" spans="2:6" x14ac:dyDescent="0.25">
      <c r="B45" s="1" t="s">
        <v>234</v>
      </c>
      <c r="C45" s="211">
        <f>'Balance Sheet'!H5</f>
        <v>196572</v>
      </c>
      <c r="D45" s="211">
        <f>C45</f>
        <v>196572</v>
      </c>
      <c r="E45" s="211">
        <f>D45</f>
        <v>196572</v>
      </c>
    </row>
    <row r="46" spans="2:6" x14ac:dyDescent="0.25">
      <c r="B46" s="1" t="s">
        <v>203</v>
      </c>
      <c r="C46" s="210">
        <f>C43-C44+C45</f>
        <v>3681564.58</v>
      </c>
      <c r="D46" s="210">
        <f t="shared" ref="D46:E46" si="13">D43-D44+D45</f>
        <v>4240382.2399999993</v>
      </c>
      <c r="E46" s="210">
        <f t="shared" si="13"/>
        <v>4808627.8999999994</v>
      </c>
    </row>
    <row r="47" spans="2:6" x14ac:dyDescent="0.25">
      <c r="B47" s="1" t="s">
        <v>204</v>
      </c>
      <c r="C47" s="211">
        <f>'Income Statement'!H26</f>
        <v>27972.231139646869</v>
      </c>
      <c r="D47" s="211">
        <f>C47</f>
        <v>27972.231139646869</v>
      </c>
      <c r="E47" s="211">
        <f>D47</f>
        <v>27972.231139646869</v>
      </c>
    </row>
    <row r="48" spans="2:6" ht="15.6" x14ac:dyDescent="0.3">
      <c r="B48" s="8" t="s">
        <v>205</v>
      </c>
      <c r="C48" s="213">
        <f>C46/C47</f>
        <v>131.61497778351611</v>
      </c>
      <c r="D48" s="213">
        <f t="shared" ref="D48:E48" si="14">D46/D47</f>
        <v>151.59256402646511</v>
      </c>
      <c r="E48" s="213">
        <f t="shared" si="14"/>
        <v>171.90719882134883</v>
      </c>
    </row>
    <row r="49" spans="2:5" x14ac:dyDescent="0.25">
      <c r="B49" s="1" t="s">
        <v>206</v>
      </c>
      <c r="C49" s="284">
        <f>Cover!$C$24</f>
        <v>114.55</v>
      </c>
      <c r="D49" s="284">
        <f>Cover!$C$24</f>
        <v>114.55</v>
      </c>
      <c r="E49" s="284">
        <f>Cover!$C$24</f>
        <v>114.55</v>
      </c>
    </row>
    <row r="50" spans="2:5" ht="15.6" x14ac:dyDescent="0.3">
      <c r="B50" s="8" t="s">
        <v>207</v>
      </c>
      <c r="C50" s="214">
        <f>C48/C49-1</f>
        <v>0.14897405310795375</v>
      </c>
      <c r="D50" s="214">
        <f t="shared" ref="D50:E50" si="15">D48/D49-1</f>
        <v>0.32337463139646538</v>
      </c>
      <c r="E50" s="214">
        <f t="shared" si="15"/>
        <v>0.50071758028239932</v>
      </c>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E93FE-008A-4789-A754-D3D0851467F6}">
  <dimension ref="B2:N45"/>
  <sheetViews>
    <sheetView showGridLines="0" zoomScale="74" workbookViewId="0">
      <pane xSplit="1" ySplit="2" topLeftCell="B5" activePane="bottomRight" state="frozen"/>
      <selection pane="topRight" activeCell="B1" sqref="B1"/>
      <selection pane="bottomLeft" activeCell="A3" sqref="A3"/>
      <selection pane="bottomRight" activeCell="I14" sqref="I14:N19"/>
    </sheetView>
  </sheetViews>
  <sheetFormatPr defaultRowHeight="15" x14ac:dyDescent="0.25"/>
  <cols>
    <col min="1" max="1" width="3.77734375" style="63" customWidth="1"/>
    <col min="2" max="2" width="27.33203125" style="63" bestFit="1" customWidth="1"/>
    <col min="3" max="3" width="8.88671875" style="63"/>
    <col min="4" max="5" width="10.21875" style="63" bestFit="1" customWidth="1"/>
    <col min="6" max="6" width="12.21875" style="63" bestFit="1" customWidth="1"/>
    <col min="7" max="9" width="10.21875" style="63" bestFit="1" customWidth="1"/>
    <col min="10" max="12" width="10" style="63" bestFit="1" customWidth="1"/>
    <col min="13" max="14" width="10.21875" style="63" bestFit="1" customWidth="1"/>
    <col min="15" max="16384" width="8.88671875" style="63"/>
  </cols>
  <sheetData>
    <row r="2" spans="2:14" ht="15.6" x14ac:dyDescent="0.3">
      <c r="B2" s="11" t="s">
        <v>9</v>
      </c>
      <c r="C2" s="11"/>
      <c r="D2" s="13">
        <v>2022</v>
      </c>
      <c r="E2" s="13">
        <f>D2+1</f>
        <v>2023</v>
      </c>
      <c r="F2" s="13">
        <f t="shared" ref="F2:L2" si="0">E2+1</f>
        <v>2024</v>
      </c>
      <c r="G2" s="21">
        <f t="shared" si="0"/>
        <v>2025</v>
      </c>
      <c r="H2" s="14">
        <f t="shared" si="0"/>
        <v>2026</v>
      </c>
      <c r="I2" s="14">
        <f t="shared" si="0"/>
        <v>2027</v>
      </c>
      <c r="J2" s="14">
        <f t="shared" si="0"/>
        <v>2028</v>
      </c>
      <c r="K2" s="14">
        <f t="shared" si="0"/>
        <v>2029</v>
      </c>
      <c r="L2" s="14">
        <f t="shared" si="0"/>
        <v>2030</v>
      </c>
    </row>
    <row r="3" spans="2:14" x14ac:dyDescent="0.25">
      <c r="B3" s="63" t="s">
        <v>241</v>
      </c>
      <c r="D3" s="93">
        <f>'Income Statement'!E13*(1-'Income Statement'!F38)</f>
        <v>68406.3012936062</v>
      </c>
      <c r="E3" s="93">
        <f>'Income Statement'!F13*(1-'Income Statement'!G38)</f>
        <v>83163.814783613008</v>
      </c>
      <c r="F3" s="93">
        <f>'Income Statement'!G13*(1-'Income Statement'!H38)</f>
        <v>121681.03694522088</v>
      </c>
      <c r="G3" s="137">
        <f>'Income Statement'!H13*(1-'Income Statement'!I38)</f>
        <v>131728.30399807746</v>
      </c>
      <c r="H3" s="93">
        <f>'Income Statement'!I13*(1-'Income Statement'!J38)</f>
        <v>165297.60337391065</v>
      </c>
      <c r="I3" s="93">
        <f>'Income Statement'!J13*(1-'Income Statement'!K38)</f>
        <v>178667.17095789179</v>
      </c>
      <c r="J3" s="93">
        <f>'Income Statement'!K13*(1-'Income Statement'!L38)</f>
        <v>205909.87026439459</v>
      </c>
      <c r="K3" s="93">
        <f>'Income Statement'!L13*(1-'Income Statement'!M38)</f>
        <v>235248.42793209443</v>
      </c>
      <c r="L3" s="93">
        <f>'Income Statement'!M13*(1-'Income Statement'!N38)</f>
        <v>363742.21693940705</v>
      </c>
    </row>
    <row r="4" spans="2:14" x14ac:dyDescent="0.25">
      <c r="B4" s="63" t="s">
        <v>242</v>
      </c>
      <c r="D4" s="138">
        <f>'Balance Sheet'!E64</f>
        <v>23900</v>
      </c>
      <c r="E4" s="138">
        <f>'Balance Sheet'!F64</f>
        <v>40800</v>
      </c>
      <c r="F4" s="138">
        <f>'Balance Sheet'!G64</f>
        <v>51900</v>
      </c>
      <c r="G4" s="139">
        <f>'Balance Sheet'!H64</f>
        <v>47400</v>
      </c>
      <c r="H4" s="138">
        <f>'Balance Sheet'!I64</f>
        <v>51833.285587213344</v>
      </c>
      <c r="I4" s="138">
        <f>'Balance Sheet'!J64</f>
        <v>55873.188955632722</v>
      </c>
      <c r="J4" s="138">
        <f>'Balance Sheet'!K64</f>
        <v>61284.548457943529</v>
      </c>
      <c r="K4" s="138">
        <f>'Balance Sheet'!L64</f>
        <v>69301.929078516318</v>
      </c>
      <c r="L4" s="138">
        <f>'Balance Sheet'!M64</f>
        <v>75114.72989865925</v>
      </c>
    </row>
    <row r="5" spans="2:14" x14ac:dyDescent="0.25">
      <c r="B5" s="63" t="s">
        <v>243</v>
      </c>
      <c r="D5" s="138">
        <f>'Income Statement'!E11</f>
        <v>10899</v>
      </c>
      <c r="E5" s="138">
        <f>'Income Statement'!F11</f>
        <v>13239</v>
      </c>
      <c r="F5" s="138">
        <f>'Income Statement'!G11</f>
        <v>19490</v>
      </c>
      <c r="G5" s="139">
        <f>'Income Statement'!H11</f>
        <v>25068</v>
      </c>
      <c r="H5" s="138">
        <f>'Income Statement'!I11</f>
        <v>32767.252407936165</v>
      </c>
      <c r="I5" s="138">
        <f>'Income Statement'!J11</f>
        <v>27826.30148249687</v>
      </c>
      <c r="J5" s="138">
        <f>'Income Statement'!K11</f>
        <v>32578.810570257097</v>
      </c>
      <c r="K5" s="138">
        <f>'Income Statement'!L11</f>
        <v>38072.700046305887</v>
      </c>
      <c r="L5" s="138">
        <f>'Income Statement'!M11</f>
        <v>44369.107158833503</v>
      </c>
    </row>
    <row r="6" spans="2:14" x14ac:dyDescent="0.25">
      <c r="B6" s="63" t="s">
        <v>244</v>
      </c>
      <c r="D6" s="138">
        <f>'Balance Sheet'!E84</f>
        <v>-4669</v>
      </c>
      <c r="E6" s="138">
        <f>'Balance Sheet'!F84</f>
        <v>-2088</v>
      </c>
      <c r="F6" s="138">
        <f>'Balance Sheet'!G84</f>
        <v>776</v>
      </c>
      <c r="G6" s="139">
        <f>'Balance Sheet'!H84</f>
        <v>-6267</v>
      </c>
      <c r="H6" s="138">
        <f>'Balance Sheet'!I84</f>
        <v>5460.8878100654329</v>
      </c>
      <c r="I6" s="138">
        <f>'Balance Sheet'!J84</f>
        <v>-1161.511733147614</v>
      </c>
      <c r="J6" s="138">
        <f>'Balance Sheet'!K84</f>
        <v>279.91988708099962</v>
      </c>
      <c r="K6" s="138">
        <f>'Balance Sheet'!L84</f>
        <v>-1275.299514968945</v>
      </c>
      <c r="L6" s="138">
        <f>'Balance Sheet'!M84</f>
        <v>-1504.4477206671072</v>
      </c>
    </row>
    <row r="7" spans="2:14" ht="15.6" x14ac:dyDescent="0.3">
      <c r="B7" s="228" t="s">
        <v>249</v>
      </c>
      <c r="C7" s="228"/>
      <c r="D7" s="246">
        <f>D3-D4+D5-D6</f>
        <v>60074.3012936062</v>
      </c>
      <c r="E7" s="246">
        <f t="shared" ref="E7:L7" si="1">E3-E4+E5-E6</f>
        <v>57690.814783613008</v>
      </c>
      <c r="F7" s="246">
        <f t="shared" si="1"/>
        <v>88495.036945220883</v>
      </c>
      <c r="G7" s="247">
        <f t="shared" si="1"/>
        <v>115663.30399807746</v>
      </c>
      <c r="H7" s="246">
        <f t="shared" si="1"/>
        <v>140770.68238456803</v>
      </c>
      <c r="I7" s="246">
        <f t="shared" si="1"/>
        <v>151781.79521790356</v>
      </c>
      <c r="J7" s="246">
        <f t="shared" si="1"/>
        <v>176924.21248962719</v>
      </c>
      <c r="K7" s="246">
        <f t="shared" si="1"/>
        <v>205294.49841485295</v>
      </c>
      <c r="L7" s="246">
        <f t="shared" si="1"/>
        <v>334501.04192024842</v>
      </c>
    </row>
    <row r="8" spans="2:14" x14ac:dyDescent="0.25">
      <c r="B8" s="226" t="s">
        <v>251</v>
      </c>
      <c r="G8" s="79"/>
      <c r="H8" s="226">
        <v>1</v>
      </c>
      <c r="I8" s="226">
        <v>2</v>
      </c>
      <c r="J8" s="226">
        <v>3</v>
      </c>
      <c r="K8" s="226">
        <v>4</v>
      </c>
      <c r="L8" s="226">
        <v>5</v>
      </c>
    </row>
    <row r="9" spans="2:14" x14ac:dyDescent="0.25">
      <c r="B9" s="226" t="s">
        <v>250</v>
      </c>
      <c r="G9" s="79"/>
      <c r="H9" s="245">
        <f>1/(1+$F$15)^H8</f>
        <v>0.92762413712849323</v>
      </c>
      <c r="I9" s="245">
        <f t="shared" ref="I9:L9" si="2">1/(1+$F$15)^I8</f>
        <v>0.86048653978338152</v>
      </c>
      <c r="J9" s="245">
        <f t="shared" si="2"/>
        <v>0.79820808397724219</v>
      </c>
      <c r="K9" s="245">
        <f t="shared" si="2"/>
        <v>0.74043708514837703</v>
      </c>
      <c r="L9" s="245">
        <f t="shared" si="2"/>
        <v>0.68684731220869988</v>
      </c>
    </row>
    <row r="10" spans="2:14" ht="15.6" x14ac:dyDescent="0.3">
      <c r="B10" s="228" t="s">
        <v>252</v>
      </c>
      <c r="C10" s="229"/>
      <c r="D10" s="229"/>
      <c r="E10" s="229"/>
      <c r="F10" s="229"/>
      <c r="G10" s="237"/>
      <c r="H10" s="246">
        <f>H7*H9</f>
        <v>130582.28277997411</v>
      </c>
      <c r="I10" s="246">
        <f t="shared" ref="I10:L10" si="3">I7*I9</f>
        <v>130606.19176916365</v>
      </c>
      <c r="J10" s="246">
        <f t="shared" si="3"/>
        <v>141222.33666052777</v>
      </c>
      <c r="K10" s="246">
        <f t="shared" si="3"/>
        <v>152007.66000329182</v>
      </c>
      <c r="L10" s="246">
        <f t="shared" si="3"/>
        <v>229751.14157393228</v>
      </c>
    </row>
    <row r="11" spans="2:14" x14ac:dyDescent="0.25">
      <c r="G11" s="79"/>
    </row>
    <row r="12" spans="2:14" ht="15.6" x14ac:dyDescent="0.3">
      <c r="B12" s="228" t="s">
        <v>41</v>
      </c>
      <c r="C12" s="229"/>
      <c r="D12" s="243">
        <f>'Income Statement'!E23</f>
        <v>102832</v>
      </c>
      <c r="E12" s="243">
        <f>'Income Statement'!F23</f>
        <v>125833</v>
      </c>
      <c r="F12" s="243">
        <f>'Income Statement'!G23</f>
        <v>185106</v>
      </c>
      <c r="G12" s="244">
        <f>'Income Statement'!H23</f>
        <v>204359</v>
      </c>
      <c r="H12" s="243">
        <f>'Income Statement'!I23</f>
        <v>257748.30588710605</v>
      </c>
      <c r="I12" s="243">
        <f>'Income Statement'!J23</f>
        <v>271004.22737972008</v>
      </c>
      <c r="J12" s="243">
        <f>'Income Statement'!K23</f>
        <v>312835.86565321306</v>
      </c>
      <c r="K12" s="243">
        <f>'Income Statement'!L23</f>
        <v>358261.48721074639</v>
      </c>
      <c r="L12" s="243">
        <f>'Income Statement'!M23</f>
        <v>408111.32409824058</v>
      </c>
    </row>
    <row r="14" spans="2:14" ht="16.2" thickBot="1" x14ac:dyDescent="0.35">
      <c r="B14" s="336" t="s">
        <v>253</v>
      </c>
      <c r="C14" s="337"/>
      <c r="D14" s="337"/>
      <c r="E14" s="337"/>
      <c r="F14" s="338"/>
      <c r="I14" s="277">
        <f>F28</f>
        <v>195.43533903289318</v>
      </c>
      <c r="J14" s="276">
        <v>16.399999999999999</v>
      </c>
      <c r="K14" s="276">
        <v>18.399999999999999</v>
      </c>
      <c r="L14" s="276">
        <v>20.399999999999999</v>
      </c>
      <c r="M14" s="276">
        <v>22.4</v>
      </c>
      <c r="N14" s="276">
        <v>24.4</v>
      </c>
    </row>
    <row r="15" spans="2:14" x14ac:dyDescent="0.25">
      <c r="B15" s="238" t="s">
        <v>7</v>
      </c>
      <c r="C15" s="229"/>
      <c r="D15" s="229"/>
      <c r="E15" s="229"/>
      <c r="F15" s="239">
        <f>WACC!C19</f>
        <v>7.8022832712773035E-2</v>
      </c>
      <c r="I15" s="97">
        <v>8.7999999999999995E-2</v>
      </c>
      <c r="J15" s="278">
        <f t="dataTable" ref="J15:N19" dt2D="1" dtr="1" r1="F16" r2="F15"/>
        <v>147.4757033102274</v>
      </c>
      <c r="K15" s="278">
        <v>166.55404443029312</v>
      </c>
      <c r="L15" s="278">
        <v>185.63238555035886</v>
      </c>
      <c r="M15" s="278">
        <v>204.71072667042458</v>
      </c>
      <c r="N15" s="278">
        <v>223.78906779049024</v>
      </c>
    </row>
    <row r="16" spans="2:14" x14ac:dyDescent="0.25">
      <c r="B16" s="238" t="s">
        <v>254</v>
      </c>
      <c r="C16" s="229"/>
      <c r="D16" s="229"/>
      <c r="E16" s="229"/>
      <c r="F16" s="242">
        <f>INDEX(F17:F19,MATCH(Cover!$C$23,DCF!$B$17:$B$19,0))</f>
        <v>20.38</v>
      </c>
      <c r="I16" s="97">
        <v>8.3000000000000004E-2</v>
      </c>
      <c r="J16" s="278">
        <v>151.53145520327985</v>
      </c>
      <c r="K16" s="278">
        <v>171.05428658817908</v>
      </c>
      <c r="L16" s="278">
        <v>190.57711797307829</v>
      </c>
      <c r="M16" s="278">
        <v>210.09994935797752</v>
      </c>
      <c r="N16" s="278">
        <v>229.62278074287673</v>
      </c>
    </row>
    <row r="17" spans="2:14" ht="15.6" x14ac:dyDescent="0.3">
      <c r="B17" s="233" t="s">
        <v>22</v>
      </c>
      <c r="F17" s="240">
        <f>F18-G17</f>
        <v>18.38</v>
      </c>
      <c r="G17" s="203">
        <v>2</v>
      </c>
      <c r="I17" s="97">
        <v>7.8E-2</v>
      </c>
      <c r="J17" s="278">
        <v>155.69902510925255</v>
      </c>
      <c r="K17" s="278">
        <v>175.67883181091801</v>
      </c>
      <c r="L17" s="280">
        <v>195.65863851258342</v>
      </c>
      <c r="M17" s="278">
        <v>215.63844521424892</v>
      </c>
      <c r="N17" s="278">
        <v>235.61825191591436</v>
      </c>
    </row>
    <row r="18" spans="2:14" ht="15.6" x14ac:dyDescent="0.3">
      <c r="B18" s="233" t="s">
        <v>23</v>
      </c>
      <c r="F18" s="241">
        <f>Comps!F26</f>
        <v>20.38</v>
      </c>
      <c r="I18" s="97">
        <v>7.2999999999999995E-2</v>
      </c>
      <c r="J18" s="278">
        <v>159.98205946514477</v>
      </c>
      <c r="K18" s="278">
        <v>180.43173759050001</v>
      </c>
      <c r="L18" s="278">
        <v>200.88141571585521</v>
      </c>
      <c r="M18" s="278">
        <v>221.33109384121042</v>
      </c>
      <c r="N18" s="278">
        <v>241.78077196656562</v>
      </c>
    </row>
    <row r="19" spans="2:14" ht="15.6" x14ac:dyDescent="0.3">
      <c r="B19" s="233" t="s">
        <v>24</v>
      </c>
      <c r="F19" s="240">
        <f>F18+G19</f>
        <v>22.38</v>
      </c>
      <c r="G19" s="203">
        <v>2</v>
      </c>
      <c r="I19" s="97">
        <v>6.8000000000000005E-2</v>
      </c>
      <c r="J19" s="278">
        <v>164.38434175833419</v>
      </c>
      <c r="K19" s="278">
        <v>185.31721400910297</v>
      </c>
      <c r="L19" s="278">
        <v>206.25008625987172</v>
      </c>
      <c r="M19" s="278">
        <v>227.18295851064047</v>
      </c>
      <c r="N19" s="278">
        <v>248.11583076140926</v>
      </c>
    </row>
    <row r="20" spans="2:14" ht="15.6" x14ac:dyDescent="0.3">
      <c r="B20" s="236" t="s">
        <v>255</v>
      </c>
      <c r="C20" s="229"/>
      <c r="D20" s="229"/>
      <c r="E20" s="229"/>
      <c r="F20" s="247">
        <f>F16*L12</f>
        <v>8317308.7851221431</v>
      </c>
    </row>
    <row r="21" spans="2:14" x14ac:dyDescent="0.25">
      <c r="B21" s="234" t="s">
        <v>256</v>
      </c>
      <c r="F21" s="137">
        <f>F20/(1+F15)^5</f>
        <v>5712721.1838709516</v>
      </c>
    </row>
    <row r="22" spans="2:14" x14ac:dyDescent="0.25">
      <c r="B22" s="234" t="s">
        <v>257</v>
      </c>
      <c r="F22" s="137">
        <f>SUM(H10:L10)</f>
        <v>784169.61278688954</v>
      </c>
    </row>
    <row r="23" spans="2:14" x14ac:dyDescent="0.25">
      <c r="B23" s="238" t="s">
        <v>232</v>
      </c>
      <c r="C23" s="229"/>
      <c r="D23" s="229"/>
      <c r="E23" s="229"/>
      <c r="F23" s="248">
        <f>F21+F22</f>
        <v>6496890.7966578417</v>
      </c>
    </row>
    <row r="24" spans="2:14" x14ac:dyDescent="0.25">
      <c r="B24" s="234" t="s">
        <v>233</v>
      </c>
      <c r="F24" s="139">
        <f>'Balance Sheet'!H28</f>
        <v>1209094</v>
      </c>
    </row>
    <row r="25" spans="2:14" x14ac:dyDescent="0.25">
      <c r="B25" s="234" t="s">
        <v>234</v>
      </c>
      <c r="F25" s="139">
        <f>'Balance Sheet'!H5</f>
        <v>196572</v>
      </c>
    </row>
    <row r="26" spans="2:14" x14ac:dyDescent="0.25">
      <c r="B26" s="238" t="s">
        <v>203</v>
      </c>
      <c r="C26" s="229"/>
      <c r="D26" s="229"/>
      <c r="E26" s="229"/>
      <c r="F26" s="248">
        <f>F23-F24+F25</f>
        <v>5484368.7966578417</v>
      </c>
    </row>
    <row r="27" spans="2:14" x14ac:dyDescent="0.25">
      <c r="B27" s="234" t="s">
        <v>204</v>
      </c>
      <c r="F27" s="139">
        <f>'Income Statement'!H27</f>
        <v>28062.318840579712</v>
      </c>
    </row>
    <row r="28" spans="2:14" ht="15.6" x14ac:dyDescent="0.3">
      <c r="B28" s="230" t="s">
        <v>205</v>
      </c>
      <c r="C28" s="231"/>
      <c r="D28" s="231"/>
      <c r="E28" s="231"/>
      <c r="F28" s="249">
        <f>F26/F27</f>
        <v>195.43533903289318</v>
      </c>
    </row>
    <row r="29" spans="2:14" x14ac:dyDescent="0.25">
      <c r="B29" s="234" t="s">
        <v>206</v>
      </c>
      <c r="F29" s="286">
        <f>Cover!$C$24</f>
        <v>114.55</v>
      </c>
    </row>
    <row r="30" spans="2:14" ht="15.6" x14ac:dyDescent="0.3">
      <c r="B30" s="235" t="s">
        <v>207</v>
      </c>
      <c r="C30" s="227"/>
      <c r="D30" s="227"/>
      <c r="E30" s="227"/>
      <c r="F30" s="250">
        <f>F28/F29-1</f>
        <v>0.70611382830984892</v>
      </c>
    </row>
    <row r="32" spans="2:14" ht="16.2" thickBot="1" x14ac:dyDescent="0.35">
      <c r="B32" s="335" t="s">
        <v>258</v>
      </c>
      <c r="C32" s="335"/>
      <c r="D32" s="335"/>
      <c r="E32" s="335"/>
      <c r="F32" s="335"/>
      <c r="I32" s="281">
        <f>F43</f>
        <v>135.78738010421168</v>
      </c>
      <c r="J32" s="279">
        <v>1.4999999999999999E-2</v>
      </c>
      <c r="K32" s="279">
        <v>1.7500000000000002E-2</v>
      </c>
      <c r="L32" s="279">
        <v>0.02</v>
      </c>
      <c r="M32" s="279">
        <v>2.2499999999999999E-2</v>
      </c>
      <c r="N32" s="279">
        <v>2.5000000000000001E-2</v>
      </c>
    </row>
    <row r="33" spans="2:14" x14ac:dyDescent="0.25">
      <c r="B33" s="251" t="s">
        <v>7</v>
      </c>
      <c r="C33" s="231"/>
      <c r="D33" s="231"/>
      <c r="E33" s="231"/>
      <c r="F33" s="273">
        <f>F15</f>
        <v>7.8022832712773035E-2</v>
      </c>
      <c r="I33" s="97">
        <v>8.7999999999999995E-2</v>
      </c>
      <c r="J33" s="278">
        <f t="dataTable" ref="J33:N37" dt2D="1" dtr="1" r1="F34" r2="F33"/>
        <v>100.5734520535627</v>
      </c>
      <c r="K33" s="278">
        <v>104.70569997855152</v>
      </c>
      <c r="L33" s="278">
        <v>109.14178966273067</v>
      </c>
      <c r="M33" s="278">
        <v>113.91651214722886</v>
      </c>
      <c r="N33" s="278">
        <v>119.0701808606555</v>
      </c>
    </row>
    <row r="34" spans="2:14" x14ac:dyDescent="0.25">
      <c r="B34" s="234" t="s">
        <v>259</v>
      </c>
      <c r="F34" s="155">
        <v>0.02</v>
      </c>
      <c r="I34" s="97">
        <v>8.3000000000000004E-2</v>
      </c>
      <c r="J34" s="278">
        <v>111.28588580722166</v>
      </c>
      <c r="K34" s="278">
        <v>116.14939666327729</v>
      </c>
      <c r="L34" s="278">
        <v>121.3989004444166</v>
      </c>
      <c r="M34" s="278">
        <v>127.08224751325341</v>
      </c>
      <c r="N34" s="278">
        <v>133.255538294921</v>
      </c>
    </row>
    <row r="35" spans="2:14" ht="15.6" x14ac:dyDescent="0.3">
      <c r="B35" s="236" t="s">
        <v>255</v>
      </c>
      <c r="C35" s="228"/>
      <c r="D35" s="228"/>
      <c r="E35" s="228"/>
      <c r="F35" s="247">
        <f>(L7*(1+F34))/(F33-F34)</f>
        <v>5880289.6516209599</v>
      </c>
      <c r="I35" s="97">
        <v>7.8E-2</v>
      </c>
      <c r="J35" s="278">
        <v>123.78113954938937</v>
      </c>
      <c r="K35" s="278">
        <v>129.57066491857447</v>
      </c>
      <c r="L35" s="280">
        <v>135.85928730234443</v>
      </c>
      <c r="M35" s="278">
        <v>142.71445224321079</v>
      </c>
      <c r="N35" s="278">
        <v>150.21633085774383</v>
      </c>
    </row>
    <row r="36" spans="2:14" x14ac:dyDescent="0.25">
      <c r="B36" s="234" t="s">
        <v>256</v>
      </c>
      <c r="F36" s="137">
        <f>F35/(1+F33)^5</f>
        <v>4038861.1422244888</v>
      </c>
      <c r="I36" s="97">
        <v>7.2999999999999995E-2</v>
      </c>
      <c r="J36" s="278">
        <v>138.52323541046826</v>
      </c>
      <c r="K36" s="278">
        <v>145.50707192347892</v>
      </c>
      <c r="L36" s="278">
        <v>153.14976093771702</v>
      </c>
      <c r="M36" s="278">
        <v>161.54915183455296</v>
      </c>
      <c r="N36" s="278">
        <v>170.82347928314269</v>
      </c>
    </row>
    <row r="37" spans="2:14" x14ac:dyDescent="0.25">
      <c r="B37" s="234" t="s">
        <v>257</v>
      </c>
      <c r="F37" s="137">
        <f>SUM(H10:L10)</f>
        <v>784169.61278688954</v>
      </c>
      <c r="I37" s="97">
        <v>6.8000000000000005E-2</v>
      </c>
      <c r="J37" s="278">
        <v>156.15142017362257</v>
      </c>
      <c r="K37" s="278">
        <v>164.70921106475333</v>
      </c>
      <c r="L37" s="278">
        <v>174.15843850704343</v>
      </c>
      <c r="M37" s="278">
        <v>184.64604259134342</v>
      </c>
      <c r="N37" s="278">
        <v>196.35313552265512</v>
      </c>
    </row>
    <row r="38" spans="2:14" x14ac:dyDescent="0.25">
      <c r="B38" s="238" t="s">
        <v>232</v>
      </c>
      <c r="C38" s="229"/>
      <c r="D38" s="229"/>
      <c r="E38" s="229"/>
      <c r="F38" s="248">
        <f>F36+F37</f>
        <v>4823030.7550113779</v>
      </c>
    </row>
    <row r="39" spans="2:14" x14ac:dyDescent="0.25">
      <c r="B39" s="234" t="s">
        <v>233</v>
      </c>
      <c r="F39" s="139">
        <f>F24</f>
        <v>1209094</v>
      </c>
    </row>
    <row r="40" spans="2:14" x14ac:dyDescent="0.25">
      <c r="B40" s="234" t="s">
        <v>234</v>
      </c>
      <c r="F40" s="139">
        <f>F25</f>
        <v>196572</v>
      </c>
    </row>
    <row r="41" spans="2:14" x14ac:dyDescent="0.25">
      <c r="B41" s="238" t="s">
        <v>203</v>
      </c>
      <c r="C41" s="229"/>
      <c r="D41" s="229"/>
      <c r="E41" s="229"/>
      <c r="F41" s="248">
        <f>F38-F39+F40</f>
        <v>3810508.7550113779</v>
      </c>
    </row>
    <row r="42" spans="2:14" x14ac:dyDescent="0.25">
      <c r="B42" s="253" t="s">
        <v>204</v>
      </c>
      <c r="C42" s="227"/>
      <c r="D42" s="227"/>
      <c r="E42" s="227"/>
      <c r="F42" s="254">
        <f>F27</f>
        <v>28062.318840579712</v>
      </c>
    </row>
    <row r="43" spans="2:14" ht="15.6" x14ac:dyDescent="0.3">
      <c r="B43" s="232" t="s">
        <v>205</v>
      </c>
      <c r="F43" s="252">
        <f>F41/F42</f>
        <v>135.78738010421168</v>
      </c>
    </row>
    <row r="44" spans="2:14" x14ac:dyDescent="0.25">
      <c r="B44" s="234" t="s">
        <v>206</v>
      </c>
      <c r="F44" s="286">
        <f>Cover!$C$24</f>
        <v>114.55</v>
      </c>
    </row>
    <row r="45" spans="2:14" ht="15.6" x14ac:dyDescent="0.3">
      <c r="B45" s="235" t="s">
        <v>207</v>
      </c>
      <c r="C45" s="227"/>
      <c r="D45" s="227"/>
      <c r="E45" s="227"/>
      <c r="F45" s="250">
        <f>F43/F44-1</f>
        <v>0.18539834224540974</v>
      </c>
    </row>
  </sheetData>
  <mergeCells count="2">
    <mergeCell ref="B14:F14"/>
    <mergeCell ref="B32:F32"/>
  </mergeCells>
  <conditionalFormatting sqref="J15:N19">
    <cfRule type="colorScale" priority="2">
      <colorScale>
        <cfvo type="min"/>
        <cfvo type="percentile" val="50"/>
        <cfvo type="max"/>
        <color rgb="FFF8696B"/>
        <color rgb="FFFCFCFF"/>
        <color rgb="FF63BE7B"/>
      </colorScale>
    </cfRule>
  </conditionalFormatting>
  <conditionalFormatting sqref="J33:N37">
    <cfRule type="colorScale" priority="1">
      <colorScale>
        <cfvo type="min"/>
        <cfvo type="percentile" val="50"/>
        <cfvo type="max"/>
        <color rgb="FFF8696B"/>
        <color rgb="FFFCFCFF"/>
        <color rgb="FF63BE7B"/>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C06EB49591F54B96F3066ABA1A8444" ma:contentTypeVersion="4" ma:contentTypeDescription="Create a new document." ma:contentTypeScope="" ma:versionID="68fc7d8cd947b96fcf550fecf6dee05f">
  <xsd:schema xmlns:xsd="http://www.w3.org/2001/XMLSchema" xmlns:xs="http://www.w3.org/2001/XMLSchema" xmlns:p="http://schemas.microsoft.com/office/2006/metadata/properties" xmlns:ns3="f7afb798-e000-4e7e-a38c-2adc347c0d70" targetNamespace="http://schemas.microsoft.com/office/2006/metadata/properties" ma:root="true" ma:fieldsID="9c5877752215b3ea100b45a7114a6274" ns3:_="">
    <xsd:import namespace="f7afb798-e000-4e7e-a38c-2adc347c0d7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afb798-e000-4e7e-a38c-2adc347c0d7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FA3EB4-9671-49B3-BB83-E6270A6012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afb798-e000-4e7e-a38c-2adc347c0d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89C4CA-F65A-4B82-A0A4-1C8DE8951486}">
  <ds:schemaRefs>
    <ds:schemaRef ds:uri="http://schemas.openxmlformats.org/package/2006/metadata/core-properties"/>
    <ds:schemaRef ds:uri="http://www.w3.org/XML/1998/namespace"/>
    <ds:schemaRef ds:uri="http://purl.org/dc/terms/"/>
    <ds:schemaRef ds:uri="http://schemas.microsoft.com/office/2006/metadata/properties"/>
    <ds:schemaRef ds:uri="http://schemas.microsoft.com/office/2006/documentManagement/types"/>
    <ds:schemaRef ds:uri="f7afb798-e000-4e7e-a38c-2adc347c0d70"/>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1F1C3168-3757-426D-81A1-0E869D7679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vt:lpstr>
      <vt:lpstr>Revenue Buildout</vt:lpstr>
      <vt:lpstr>Income Statement</vt:lpstr>
      <vt:lpstr>Balance Sheet</vt:lpstr>
      <vt:lpstr>Cash Flow Statment (As Stated)</vt:lpstr>
      <vt:lpstr>Cash Flow Statement (Manual)</vt:lpstr>
      <vt:lpstr>WACC</vt:lpstr>
      <vt:lpstr>Comps</vt:lpstr>
      <vt:lpstr>DCF</vt:lpstr>
      <vt:lpstr>Debt Waterfall</vt:lpstr>
      <vt:lpstr>Financial Projections</vt:lpstr>
      <vt:lpstr>Beta Calculation</vt:lpstr>
      <vt:lpstr>Graphs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Kunal Arora</dc:creator>
  <cp:lastModifiedBy>Kunal Arora</cp:lastModifiedBy>
  <cp:lastPrinted>2026-08-14T02:16:13Z</cp:lastPrinted>
  <dcterms:created xsi:type="dcterms:W3CDTF">2026-08-09T05:45:05Z</dcterms:created>
  <dcterms:modified xsi:type="dcterms:W3CDTF">2026-08-20T02:07:05Z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0x010100CDC06EB49591F54B96F3066ABA1A8444</vt:lpwstr>
  </property>
</Properties>
</file>